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NuMU8e6Tszwd6z0cFR7mLfapMPZ+tlKnwcWGF9N+QEnrDc8bLvZqIiMXuASHQvQXIs0JqwTe7eyL7KcAJq2hrg==" workbookSaltValue="hjuI+DPMkHA/tn6N9N9OQ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A13" i="3"/>
  <c r="C13" i="3"/>
  <c r="D13" i="3"/>
  <c r="F13" i="3"/>
  <c r="H13" i="3"/>
  <c r="I13" i="3" s="1"/>
  <c r="A14" i="3"/>
  <c r="A15" i="3"/>
  <c r="A16" i="3"/>
  <c r="C16" i="3"/>
  <c r="D16" i="3"/>
  <c r="D16" i="6" s="1"/>
  <c r="F16" i="3"/>
  <c r="G16" i="3" s="1"/>
  <c r="H16" i="3"/>
  <c r="A17" i="3"/>
  <c r="C17" i="3"/>
  <c r="D17" i="3"/>
  <c r="BI17" i="16" s="1"/>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A14" i="2"/>
  <c r="B14" i="2"/>
  <c r="A15" i="2"/>
  <c r="A16" i="2"/>
  <c r="B16" i="2"/>
  <c r="J16" i="2" s="1"/>
  <c r="A17" i="2"/>
  <c r="B17" i="2"/>
  <c r="A18" i="2"/>
  <c r="B18" i="2"/>
  <c r="F18" i="2" s="1"/>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AN29" i="11"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K18" i="7" s="1"/>
  <c r="BA30" i="13"/>
  <c r="BF28" i="13"/>
  <c r="BD11" i="13"/>
  <c r="BD18" i="8"/>
  <c r="H18" i="7" s="1"/>
  <c r="BM23" i="16"/>
  <c r="AZ30" i="13"/>
  <c r="AO14" i="20"/>
  <c r="AY14" i="13"/>
  <c r="BC23" i="13"/>
  <c r="BG25" i="13"/>
  <c r="BE19" i="8"/>
  <c r="I19" i="7" s="1"/>
  <c r="BF18" i="8"/>
  <c r="BF12" i="8"/>
  <c r="AN31" i="13"/>
  <c r="BC14" i="13"/>
  <c r="AR30" i="11"/>
  <c r="AG31" i="8"/>
  <c r="B14" i="7"/>
  <c r="AB31" i="19"/>
  <c r="AS26" i="21"/>
  <c r="BG29" i="13"/>
  <c r="AQ31" i="19"/>
  <c r="C26" i="7"/>
  <c r="BD17" i="8"/>
  <c r="H17" i="7" s="1"/>
  <c r="BD13" i="13"/>
  <c r="BF9" i="13"/>
  <c r="BE9" i="13"/>
  <c r="AT23" i="20"/>
  <c r="Q31" i="8"/>
  <c r="H26" i="12"/>
  <c r="E23" i="12"/>
  <c r="D23" i="7"/>
  <c r="F23" i="12"/>
  <c r="D23" i="12"/>
  <c r="ER31" i="8"/>
  <c r="N19" i="11"/>
  <c r="AE14" i="21"/>
  <c r="AP11" i="11"/>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C9" i="6"/>
  <c r="B22" i="6"/>
  <c r="AL22" i="11"/>
  <c r="L22" i="14"/>
  <c r="C22" i="6"/>
  <c r="B9" i="6"/>
  <c r="AO22" i="11"/>
  <c r="I11" i="10"/>
  <c r="K11" i="10" s="1"/>
  <c r="I9" i="10"/>
  <c r="K9" i="10" s="1"/>
  <c r="G19" i="3"/>
  <c r="E16" i="3"/>
  <c r="G14" i="11"/>
  <c r="AO13" i="11"/>
  <c r="L14" i="11"/>
  <c r="AA26" i="11"/>
  <c r="AC17" i="11"/>
  <c r="I14" i="11"/>
  <c r="K23" i="11"/>
  <c r="J9" i="10"/>
  <c r="L9" i="10" s="1"/>
  <c r="E19" i="6"/>
  <c r="H9" i="2"/>
  <c r="G13" i="3"/>
  <c r="E10" i="3"/>
  <c r="E22" i="6"/>
  <c r="M30" i="11"/>
  <c r="AN9" i="11"/>
  <c r="AP19" i="11"/>
  <c r="I20" i="3"/>
  <c r="I16" i="3"/>
  <c r="AG30" i="11"/>
  <c r="G23" i="11"/>
  <c r="AE14" i="11"/>
  <c r="AI14" i="11"/>
  <c r="G12" i="12"/>
  <c r="D12" i="12"/>
  <c r="C16" i="14"/>
  <c r="K16" i="14" s="1"/>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J12" i="10"/>
  <c r="L12" i="10" s="1"/>
  <c r="D22" i="6"/>
  <c r="E22" i="3"/>
  <c r="B13" i="6"/>
  <c r="L13" i="14"/>
  <c r="I13" i="7"/>
  <c r="E21" i="6"/>
  <c r="AO21" i="11"/>
  <c r="D21" i="2"/>
  <c r="B21" i="6"/>
  <c r="Y28" i="11"/>
  <c r="W30" i="11"/>
  <c r="M14" i="11"/>
  <c r="AR19" i="11"/>
  <c r="M23" i="11"/>
  <c r="BA14" i="16"/>
  <c r="AR22" i="17"/>
  <c r="D10" i="6"/>
  <c r="AG26" i="11"/>
  <c r="AG14" i="11"/>
  <c r="E18" i="3"/>
  <c r="G30" i="11"/>
  <c r="L10" i="14"/>
  <c r="C10" i="6"/>
  <c r="AL17" i="11"/>
  <c r="B17" i="6"/>
  <c r="L17" i="14"/>
  <c r="C17" i="6"/>
  <c r="AP29" i="11"/>
  <c r="AP22" i="11"/>
  <c r="AP13" i="11"/>
  <c r="AP10" i="11"/>
  <c r="H30" i="11"/>
  <c r="N29" i="11"/>
  <c r="H23" i="3"/>
  <c r="I23" i="3" s="1"/>
  <c r="X14" i="11"/>
  <c r="L21" i="14"/>
  <c r="AL10" i="11"/>
  <c r="AT14" i="11"/>
  <c r="N10" i="11"/>
  <c r="AL21" i="11"/>
  <c r="E13" i="3"/>
  <c r="C21" i="6"/>
  <c r="AN17" i="11"/>
  <c r="E12" i="3"/>
  <c r="Y20" i="11"/>
  <c r="AU14" i="11"/>
  <c r="AC18" i="11"/>
  <c r="D17" i="6"/>
  <c r="AA30" i="17"/>
  <c r="H23" i="11"/>
  <c r="AC21" i="11"/>
  <c r="L23" i="11"/>
  <c r="AT23" i="11"/>
  <c r="AT26" i="11" s="1"/>
  <c r="AT30" i="11" s="1"/>
  <c r="AI23" i="11"/>
  <c r="AF14" i="21"/>
  <c r="AF31" i="21" s="1"/>
  <c r="AX14" i="21"/>
  <c r="AZ33" i="21"/>
  <c r="AS14" i="11"/>
  <c r="E14" i="11"/>
  <c r="AL19" i="11"/>
  <c r="Y19" i="11"/>
  <c r="Y29" i="11"/>
  <c r="N13" i="11"/>
  <c r="N9" i="11"/>
  <c r="AC16" i="11"/>
  <c r="H14" i="11"/>
  <c r="F25" i="2"/>
  <c r="J17" i="10"/>
  <c r="L17" i="10" s="1"/>
  <c r="L9" i="14"/>
  <c r="J9" i="2"/>
  <c r="BI16" i="16"/>
  <c r="AN16" i="11"/>
  <c r="B16" i="6"/>
  <c r="Y12" i="11"/>
  <c r="E14" i="21"/>
  <c r="T10" i="21"/>
  <c r="AL14" i="21"/>
  <c r="E23" i="2"/>
  <c r="AO16" i="11"/>
  <c r="H30" i="3"/>
  <c r="BI18" i="16"/>
  <c r="G17" i="3"/>
  <c r="B25" i="6"/>
  <c r="AO17" i="11"/>
  <c r="D17" i="2"/>
  <c r="E16" i="6"/>
  <c r="I16" i="7"/>
  <c r="C16" i="6"/>
  <c r="I16" i="12" s="1"/>
  <c r="Y25" i="11"/>
  <c r="W26" i="11"/>
  <c r="F21" i="10"/>
  <c r="D26" i="14"/>
  <c r="AH23" i="11"/>
  <c r="D11" i="2"/>
  <c r="B19" i="6"/>
  <c r="AO10" i="11"/>
  <c r="B10" i="6"/>
  <c r="AL28" i="11"/>
  <c r="AL13" i="11"/>
  <c r="E13" i="6"/>
  <c r="H10" i="2"/>
  <c r="C13" i="6"/>
  <c r="I13" i="12" s="1"/>
  <c r="AO19" i="11"/>
  <c r="F19" i="2"/>
  <c r="D19" i="6"/>
  <c r="J19" i="12" s="1"/>
  <c r="J19" i="7"/>
  <c r="H19" i="2"/>
  <c r="AN19" i="11"/>
  <c r="C19" i="6"/>
  <c r="I19" i="12" s="1"/>
  <c r="Y9" i="11"/>
  <c r="W14" i="11"/>
  <c r="F9" i="12"/>
  <c r="F12" i="2"/>
  <c r="AN10" i="11"/>
  <c r="D9" i="12"/>
  <c r="J22" i="2"/>
  <c r="AL29" i="11"/>
  <c r="C25" i="6"/>
  <c r="F10" i="2"/>
  <c r="J22" i="10"/>
  <c r="L22" i="10" s="1"/>
  <c r="AJ30" i="11"/>
  <c r="AH26" i="11"/>
  <c r="N11" i="11"/>
  <c r="AN13" i="11"/>
  <c r="G9" i="12"/>
  <c r="E10" i="6"/>
  <c r="N21" i="11"/>
  <c r="AC12" i="11"/>
  <c r="E19" i="3"/>
  <c r="I12"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BG23" i="16"/>
  <c r="C26" i="2"/>
  <c r="D26" i="2" s="1"/>
  <c r="J25" i="2"/>
  <c r="L25" i="14"/>
  <c r="BG26" i="16"/>
  <c r="AN26" i="17"/>
  <c r="AC31" i="8"/>
  <c r="W31" i="8"/>
  <c r="F31" i="7" s="1"/>
  <c r="S31" i="13"/>
  <c r="BF20" i="8"/>
  <c r="AQ10" i="11"/>
  <c r="AQ29" i="11"/>
  <c r="BG9" i="13"/>
  <c r="BA14" i="13"/>
  <c r="BD14" i="13" s="1"/>
  <c r="V31" i="13"/>
  <c r="W23" i="11"/>
  <c r="AQ13" i="11"/>
  <c r="AG31" i="19"/>
  <c r="AO23" i="20"/>
  <c r="BH31" i="13"/>
  <c r="Y31" i="13"/>
  <c r="F9" i="11"/>
  <c r="AQ19"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11" i="16"/>
  <c r="S20" i="14"/>
  <c r="V20" i="14" s="1"/>
  <c r="BJ13" i="11"/>
  <c r="BG16" i="11"/>
  <c r="BH19" i="16"/>
  <c r="P18" i="17"/>
  <c r="AO30" i="17"/>
  <c r="BE28" i="11"/>
  <c r="BE21" i="11"/>
  <c r="BH28" i="11"/>
  <c r="BE29" i="11"/>
  <c r="BJ12" i="11"/>
  <c r="AO13" i="17"/>
  <c r="BG19" i="11"/>
  <c r="BE25" i="11"/>
  <c r="BJ19" i="11"/>
  <c r="AO16" i="17"/>
  <c r="BE10" i="11"/>
  <c r="BJ29" i="11"/>
  <c r="AM21" i="11"/>
  <c r="BK12" i="11"/>
  <c r="X17" i="17"/>
  <c r="AQ26" i="21"/>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BC33" i="21"/>
  <c r="Z26" i="21"/>
  <c r="G14" i="21"/>
  <c r="H14" i="21"/>
  <c r="H31" i="21" s="1"/>
  <c r="L31" i="21"/>
  <c r="AN14" i="20"/>
  <c r="AT18" i="20"/>
  <c r="F16" i="17"/>
  <c r="AQ16" i="17" s="1"/>
  <c r="W14" i="17"/>
  <c r="X14" i="17" s="1"/>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K23" i="2"/>
  <c r="C11" i="6"/>
  <c r="I11" i="12" s="1"/>
  <c r="AN18" i="11"/>
  <c r="J21" i="2"/>
  <c r="J11" i="7"/>
  <c r="F9" i="2"/>
  <c r="B11" i="6"/>
  <c r="N26" i="2"/>
  <c r="L11" i="14"/>
  <c r="H18" i="2"/>
  <c r="H16" i="2"/>
  <c r="M14" i="2"/>
  <c r="M23" i="2"/>
  <c r="N14" i="2"/>
  <c r="AO18" i="17"/>
  <c r="C18" i="6"/>
  <c r="AL11" i="11"/>
  <c r="L18" i="14"/>
  <c r="B18" i="6"/>
  <c r="J29" i="2"/>
  <c r="AO11" i="11"/>
  <c r="I11" i="7"/>
  <c r="D18" i="2"/>
  <c r="AO9" i="11"/>
  <c r="L20" i="14"/>
  <c r="G26" i="2"/>
  <c r="D18" i="6"/>
  <c r="J18" i="12" s="1"/>
  <c r="AO12" i="11"/>
  <c r="N23" i="2"/>
  <c r="K30" i="2"/>
  <c r="J20" i="2"/>
  <c r="H12" i="2"/>
  <c r="G14" i="2"/>
  <c r="F16" i="2"/>
  <c r="C30" i="2"/>
  <c r="D30" i="2" s="1"/>
  <c r="L12" i="14"/>
  <c r="H29" i="2"/>
  <c r="H20" i="2"/>
  <c r="E20" i="6"/>
  <c r="B20" i="6"/>
  <c r="I14" i="2"/>
  <c r="J14" i="2" s="1"/>
  <c r="AN12" i="11"/>
  <c r="F20" i="2"/>
  <c r="AL12" i="11"/>
  <c r="I12" i="7"/>
  <c r="E14" i="2"/>
  <c r="F14" i="2" s="1"/>
  <c r="F29" i="2"/>
  <c r="C20" i="6"/>
  <c r="F13" i="2"/>
  <c r="J13" i="2"/>
  <c r="J20" i="7"/>
  <c r="C14" i="2"/>
  <c r="D14" i="2" s="1"/>
  <c r="D12" i="6"/>
  <c r="J12" i="12" s="1"/>
  <c r="C12" i="6"/>
  <c r="I12" i="12" s="1"/>
  <c r="B12" i="6"/>
  <c r="E12" i="6"/>
  <c r="E28" i="6"/>
  <c r="D20" i="6"/>
  <c r="J20" i="12" s="1"/>
  <c r="AO12" i="17"/>
  <c r="G23" i="2"/>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25"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R31"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P20" i="11" s="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W31" i="11"/>
  <c r="F30" i="3"/>
  <c r="G30" i="3" s="1"/>
  <c r="S31" i="8"/>
  <c r="BE25" i="8"/>
  <c r="BD25" i="8"/>
  <c r="H25" i="7" s="1"/>
  <c r="BG25" i="8"/>
  <c r="K25" i="7" s="1"/>
  <c r="BA26" i="8"/>
  <c r="BE26" i="8" s="1"/>
  <c r="BF25" i="8"/>
  <c r="J25" i="7" s="1"/>
  <c r="AY23" i="8"/>
  <c r="BB26" i="13"/>
  <c r="S13" i="17"/>
  <c r="H33" i="11"/>
  <c r="J31" i="11"/>
  <c r="K26" i="11"/>
  <c r="K30" i="11" s="1"/>
  <c r="BB31" i="19"/>
  <c r="BF16" i="8"/>
  <c r="J16" i="7" s="1"/>
  <c r="AE31" i="13"/>
  <c r="D14" i="12"/>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12" s="1"/>
  <c r="BA14" i="8"/>
  <c r="X12" i="17"/>
  <c r="AE14" i="17"/>
  <c r="BF30" i="13"/>
  <c r="AA23" i="21"/>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P13" i="11"/>
  <c r="P25" i="11"/>
  <c r="AM14" i="11"/>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G33" i="21"/>
  <c r="U14" i="16"/>
  <c r="AF14" i="16"/>
  <c r="AA14" i="11"/>
  <c r="F11" i="11"/>
  <c r="AQ11" i="11" s="1"/>
  <c r="F11" i="16"/>
  <c r="BL11" i="16" s="1"/>
  <c r="E9" i="6"/>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H32" i="20"/>
  <c r="J32" i="20"/>
  <c r="P32" i="20"/>
  <c r="AB32" i="20"/>
  <c r="T32" i="21"/>
  <c r="H31" i="12" l="1"/>
  <c r="AL23" i="11"/>
  <c r="I10" i="7"/>
  <c r="I10" i="12"/>
  <c r="J28" i="7"/>
  <c r="AM12" i="11"/>
  <c r="AM20" i="11"/>
  <c r="AM11" i="11"/>
  <c r="X11" i="17"/>
  <c r="X14" i="20"/>
  <c r="AM25" i="11"/>
  <c r="R12" i="14"/>
  <c r="AY29" i="11"/>
  <c r="AO21" i="17"/>
  <c r="AM17" i="11"/>
  <c r="BJ9" i="11"/>
  <c r="BJ14" i="11" s="1"/>
  <c r="S18" i="16"/>
  <c r="AM13" i="11"/>
  <c r="AP30" i="20"/>
  <c r="BF22" i="11"/>
  <c r="BE17" i="11"/>
  <c r="BF20" i="11"/>
  <c r="AM22" i="11"/>
  <c r="V25" i="11"/>
  <c r="BE18" i="11"/>
  <c r="AO9" i="17"/>
  <c r="BL29" i="11"/>
  <c r="BK18" i="11"/>
  <c r="AP30" i="21"/>
  <c r="BI19" i="11"/>
  <c r="BE19" i="11"/>
  <c r="BH18" i="16"/>
  <c r="BK9" i="11"/>
  <c r="Q9" i="11" s="1"/>
  <c r="BH21" i="16"/>
  <c r="BE11" i="11"/>
  <c r="B14" i="6"/>
  <c r="V10" i="21"/>
  <c r="S21" i="14"/>
  <c r="V21" i="14" s="1"/>
  <c r="R22" i="14"/>
  <c r="X22" i="20"/>
  <c r="U10" i="21"/>
  <c r="Q25" i="11"/>
  <c r="V11" i="16"/>
  <c r="Q18" i="20"/>
  <c r="Q23" i="20" s="1"/>
  <c r="BL17" i="11"/>
  <c r="BH16" i="16"/>
  <c r="BF10" i="11"/>
  <c r="BF25" i="11"/>
  <c r="BI18" i="11"/>
  <c r="BE13" i="11"/>
  <c r="BI22" i="11"/>
  <c r="V16" i="11"/>
  <c r="BK19" i="11"/>
  <c r="BH9" i="16"/>
  <c r="AP17" i="20"/>
  <c r="T18" i="11"/>
  <c r="R18" i="14"/>
  <c r="S19" i="14"/>
  <c r="V19" i="14" s="1"/>
  <c r="R29" i="14"/>
  <c r="S16" i="14"/>
  <c r="V16" i="14" s="1"/>
  <c r="T18" i="20"/>
  <c r="AA12" i="21"/>
  <c r="ER31" i="19"/>
  <c r="AL14" i="11"/>
  <c r="K29" i="7"/>
  <c r="F26" i="7"/>
  <c r="AN21" i="11"/>
  <c r="AO14"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O32" i="20"/>
  <c r="AA32" i="20"/>
  <c r="AU32" i="20"/>
  <c r="AD32" i="20"/>
  <c r="G23" i="14"/>
  <c r="AJ32" i="20"/>
  <c r="AF32" i="20"/>
  <c r="Q32" i="20"/>
  <c r="T32" i="20"/>
  <c r="AN32" i="20"/>
  <c r="AP32" i="20"/>
  <c r="U17" i="11"/>
  <c r="AX32" i="20"/>
  <c r="F32" i="20"/>
  <c r="L32" i="20"/>
  <c r="O18" i="11"/>
  <c r="AQ32" i="21"/>
  <c r="O17" i="11"/>
  <c r="O12" i="11"/>
  <c r="U10" i="11"/>
  <c r="O10" i="11"/>
  <c r="Z32" i="20"/>
  <c r="Y32" i="20"/>
  <c r="AW32" i="20"/>
  <c r="AC32" i="20"/>
  <c r="U12" i="11"/>
  <c r="U18" i="11"/>
  <c r="D26" i="6" l="1"/>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BT30" i="16" s="1"/>
  <c r="D23" i="5"/>
  <c r="D31" i="5" s="1"/>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Y31" i="20"/>
  <c r="BE21" i="8"/>
  <c r="I21" i="7" s="1"/>
  <c r="E23" i="14"/>
  <c r="C19" i="14"/>
  <c r="F14" i="14"/>
  <c r="D31" i="2"/>
  <c r="Z30" i="16"/>
  <c r="AA26" i="16"/>
  <c r="N23" i="11"/>
  <c r="Q23" i="11" s="1"/>
  <c r="BG33" i="16"/>
  <c r="J31" i="8"/>
  <c r="AN31" i="17" s="1"/>
  <c r="C9" i="14"/>
  <c r="F14" i="16"/>
  <c r="AQ9" i="11"/>
  <c r="F14" i="11"/>
  <c r="BC23" i="8"/>
  <c r="BD20" i="8"/>
  <c r="H20" i="7" s="1"/>
  <c r="BG20" i="8"/>
  <c r="AZ23" i="8"/>
  <c r="BE23" i="13"/>
  <c r="BB31" i="13"/>
  <c r="BE31" i="13" s="1"/>
  <c r="AQ17" i="17"/>
  <c r="AW33" i="20"/>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R32" i="20"/>
  <c r="AL32" i="20"/>
  <c r="AQ32" i="20"/>
  <c r="AB31" i="16" l="1"/>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K13" i="12"/>
  <c r="AU31" i="16"/>
  <c r="AU33" i="16"/>
  <c r="AL31" i="17"/>
  <c r="AL33" i="17"/>
  <c r="AT33" i="16"/>
  <c r="AT31" i="16"/>
  <c r="P10" i="11"/>
  <c r="BL14" i="11"/>
  <c r="AR31" i="11"/>
  <c r="AV31" i="21"/>
  <c r="AR31" i="17"/>
  <c r="W30" i="20"/>
  <c r="X26" i="20"/>
  <c r="BF31" i="16"/>
  <c r="G32" i="16"/>
  <c r="J31" i="2"/>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V31" i="16" s="1"/>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J32" i="11"/>
  <c r="J32" i="17"/>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O32" i="21"/>
  <c r="F31" i="16" l="1"/>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N32" i="11"/>
  <c r="T32" i="16"/>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<sst xmlns="http://schemas.openxmlformats.org/spreadsheetml/2006/main" count="2638" uniqueCount="1165">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</sst>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1" t="s">
        <v>146</v>
      </c>
      <c r="B3" s="1542"/>
      <c r="C3" s="1542"/>
      <c r="D3" s="1543"/>
      <c r="E3" s="413"/>
      <c r="F3" s="2"/>
      <c r="Q3" s="392">
        <v>1</v>
      </c>
      <c r="R3" s="392">
        <v>3</v>
      </c>
      <c r="S3" t="b">
        <f>AND(Q3&gt;=TrimIni,Q3&lt;=TrimFin)</f>
        <v>0</v>
      </c>
    </row>
    <row r="4" spans="1:19" ht="22.5" customHeight="1" thickBot="1">
      <c r="A4" s="414" t="s">
        <v>1158</v>
      </c>
      <c r="B4" s="413"/>
      <c r="C4" s="413"/>
      <c r="D4" s="413"/>
      <c r="E4" s="413"/>
      <c r="F4" s="2"/>
      <c r="Q4" s="392">
        <v>2</v>
      </c>
      <c r="R4" s="392">
        <v>3</v>
      </c>
      <c r="S4" t="b">
        <f>AND(Q4&gt;=TrimIni,Q4&lt;=TrimFin)</f>
        <v>0</v>
      </c>
    </row>
    <row r="5" spans="1:19" ht="15.75" thickBot="1">
      <c r="A5" s="415" t="s">
        <v>55</v>
      </c>
      <c r="B5" s="416">
        <v>2021</v>
      </c>
      <c r="C5" s="417" t="s">
        <v>280</v>
      </c>
      <c r="D5" s="418">
        <v>4</v>
      </c>
      <c r="E5" s="419"/>
      <c r="F5" s="3"/>
      <c r="H5" t="s">
        <v>549</v>
      </c>
      <c r="Q5" s="392">
        <v>3</v>
      </c>
      <c r="R5" s="392">
        <v>2</v>
      </c>
      <c r="S5" t="b">
        <f>AND(Q5&gt;=TrimIni,Q5&lt;=TrimFin)</f>
        <v>0</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1159</v>
      </c>
      <c r="B9" s="422" t="s">
        <v>1160</v>
      </c>
      <c r="C9" s="419"/>
      <c r="D9" s="419"/>
      <c r="E9" s="428"/>
      <c r="F9" s="3"/>
    </row>
    <row r="10" spans="1:19">
      <c r="A10" s="427" t="s">
        <v>1161</v>
      </c>
      <c r="B10" s="419" t="s">
        <v>1162</v>
      </c>
      <c r="C10" s="419"/>
      <c r="D10" s="419"/>
      <c r="E10" s="428"/>
      <c r="F10" s="3"/>
      <c r="Q10" s="392">
        <v>0</v>
      </c>
    </row>
    <row r="11" spans="1:19" ht="13.5" thickBot="1">
      <c r="A11" s="429" t="s">
        <v>1163</v>
      </c>
      <c r="B11" s="430" t="s">
        <v>1164</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QdqwYuCkJ62Yr7tuB2fxIXMVojNzIZdtmLo8Kd/VUxgZzULLCUZgIL55hKIrBGTqloLu1XmdGOCEftXYSYxhsg==" saltValue="pjaH1ZTQ6DVnHp+urfTy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4" t="s">
        <v>479</v>
      </c>
      <c r="I4" s="1695"/>
      <c r="J4" s="1695"/>
      <c r="K4" s="1695"/>
      <c r="L4" s="1695"/>
      <c r="M4" s="1454"/>
      <c r="N4" s="1694" t="s">
        <v>480</v>
      </c>
      <c r="O4" s="1695"/>
      <c r="P4" s="1695"/>
      <c r="Q4" s="1695"/>
      <c r="R4" s="1695"/>
      <c r="S4" s="1695"/>
      <c r="T4" s="1695"/>
      <c r="U4" s="1695"/>
      <c r="V4" s="1695"/>
      <c r="W4" s="1695"/>
      <c r="X4" s="1695"/>
      <c r="Y4" s="1695"/>
      <c r="Z4" s="1695"/>
      <c r="AA4" s="1695"/>
      <c r="AB4" s="1695"/>
      <c r="AC4" s="1695"/>
      <c r="AD4" s="1696"/>
    </row>
    <row r="5" spans="1:31" s="537" customFormat="1" ht="15.75" customHeight="1">
      <c r="A5" s="1708" t="s">
        <v>469</v>
      </c>
      <c r="B5" s="1710" t="str">
        <f>"Año:  " &amp;Criterios!B5 &amp; "      Trimestre   " &amp;Criterios!D5 &amp; " al " &amp;Criterios!D6</f>
        <v>Año:  2021      Trimestre   4 al 4</v>
      </c>
      <c r="C5" s="1714" t="s">
        <v>341</v>
      </c>
      <c r="D5" s="1716" t="s">
        <v>176</v>
      </c>
      <c r="E5" s="1716" t="s">
        <v>126</v>
      </c>
      <c r="F5" s="1718" t="s">
        <v>14</v>
      </c>
      <c r="G5" s="1700"/>
      <c r="H5" s="1697" t="s">
        <v>474</v>
      </c>
      <c r="I5" s="1720" t="s">
        <v>476</v>
      </c>
      <c r="J5" s="1697" t="s">
        <v>475</v>
      </c>
      <c r="K5" s="1699" t="s">
        <v>391</v>
      </c>
      <c r="L5" s="1699" t="s">
        <v>477</v>
      </c>
      <c r="M5" s="1699" t="s">
        <v>471</v>
      </c>
      <c r="N5" s="1684"/>
      <c r="O5" s="1685"/>
      <c r="P5" s="582"/>
      <c r="Q5" s="1688" t="s">
        <v>601</v>
      </c>
      <c r="R5" s="1689"/>
      <c r="S5" s="1690"/>
      <c r="T5" s="1702"/>
      <c r="U5" s="1703"/>
      <c r="V5" s="1704"/>
      <c r="W5" s="1688" t="s">
        <v>352</v>
      </c>
      <c r="X5" s="1689"/>
      <c r="Y5" s="1689"/>
      <c r="Z5" s="1690"/>
      <c r="AA5" s="1688" t="s">
        <v>596</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294</v>
      </c>
      <c r="O7" s="1457" t="s">
        <v>512</v>
      </c>
      <c r="P7" s="1458" t="s">
        <v>513</v>
      </c>
      <c r="Q7" s="1459" t="s">
        <v>514</v>
      </c>
      <c r="R7" s="1458" t="s">
        <v>505</v>
      </c>
      <c r="S7" s="1459" t="s">
        <v>1153</v>
      </c>
      <c r="T7" s="1526" t="s">
        <v>1154</v>
      </c>
      <c r="U7" s="1526" t="s">
        <v>1155</v>
      </c>
      <c r="V7" s="1526" t="s">
        <v>1156</v>
      </c>
      <c r="W7" s="1457" t="s">
        <v>597</v>
      </c>
      <c r="X7" s="1457" t="s">
        <v>598</v>
      </c>
      <c r="Y7" s="1457" t="s">
        <v>599</v>
      </c>
      <c r="Z7" s="1457" t="s">
        <v>600</v>
      </c>
      <c r="AA7" s="1460" t="s">
        <v>597</v>
      </c>
      <c r="AB7" s="1461" t="s">
        <v>598</v>
      </c>
      <c r="AC7" s="1461" t="s">
        <v>599</v>
      </c>
      <c r="AD7" s="1462" t="s">
        <v>600</v>
      </c>
      <c r="AE7" s="1462" t="s">
        <v>1151</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9</v>
      </c>
      <c r="D10" s="239">
        <f>IF(ISNUMBER(Datos!I10),Datos!I10," - ")</f>
        <v>9</v>
      </c>
      <c r="E10" s="240">
        <f>IF(ISNUMBER(Datos!J10),Datos!J10," - ")</f>
        <v>3</v>
      </c>
      <c r="F10" s="240">
        <f>IF(ISNUMBER(Datos!K10),Datos!K10," - ")</f>
        <v>1</v>
      </c>
      <c r="G10" s="1392" t="str">
        <f>IF(Datos!E10&lt;&gt;"",Datos!E10,Datos!D10)</f>
        <v>37</v>
      </c>
      <c r="H10" s="241">
        <f>IF(ISNUMBER(Datos!L10),Datos!L10," - ")</f>
        <v>11</v>
      </c>
      <c r="I10" s="1402" t="str">
        <f>IF(ISNUMBER(Datos!AS10/Datos!BM10),Datos!AS10/Datos!BM10," - ")</f>
        <v xml:space="preserve"> - </v>
      </c>
      <c r="J10" s="1403">
        <f>IF(ISNUMBER(Datos!BY10/Datos!CN10),Datos!BY10/Datos!CN10," - ")</f>
        <v>0</v>
      </c>
      <c r="K10" s="244">
        <f t="shared" ref="K10:K13" si="1">IF(ISNUMBER((E10-F10)/C10),(E10-F10)/C10," - ")</f>
        <v>0.22222222222222221</v>
      </c>
      <c r="L10" s="1404">
        <f>IF(ISNUMBER(NºAsuntos!I10/NºAsuntos!G10),(NºAsuntos!I10/NºAsuntos!G10)*11," - ")</f>
        <v>121</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20.204907975460124</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9</v>
      </c>
      <c r="D14" s="1409">
        <f>SUBTOTAL(9,D9:D13)</f>
        <v>9</v>
      </c>
      <c r="E14" s="1410">
        <f>SUBTOTAL(9,E9:E13)</f>
        <v>3</v>
      </c>
      <c r="F14" s="1411">
        <f>SUBTOTAL(9,F9:F13)</f>
        <v>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574</v>
      </c>
      <c r="D17" s="239">
        <f>IF(ISNUMBER(IF(D_I="SI",Datos!I17,Datos!I17+Datos!AC17)),IF(D_I="SI",Datos!I17,Datos!I17+Datos!AC17)," - ")</f>
        <v>574</v>
      </c>
      <c r="E17" s="240">
        <f>IF(ISNUMBER(IF(D_I="SI",Datos!J17,Datos!J17+Datos!AD17)),IF(D_I="SI",Datos!J17,Datos!J17+Datos!AD17)," - ")</f>
        <v>653</v>
      </c>
      <c r="F17" s="240">
        <f>IF(ISNUMBER(IF(D_I="SI",Datos!K17,Datos!K17+Datos!AE17)),IF(D_I="SI",Datos!K17,Datos!K17+Datos!AE17)," - ")</f>
        <v>685</v>
      </c>
      <c r="G17" s="1392" t="str">
        <f>IF(Datos!E17&lt;&gt;"",Datos!E17,Datos!D17)</f>
        <v>04</v>
      </c>
      <c r="H17" s="241">
        <f>IF(ISNUMBER(IF(D_I="SI",Datos!L17,Datos!L17+Datos!AF17)),IF(D_I="SI",Datos!L17,Datos!L17+Datos!AF17)," - ")</f>
        <v>542</v>
      </c>
      <c r="I17" s="1402" t="str">
        <f>IF(ISNUMBER(Datos!AS17/Datos!BM17),Datos!AS17/Datos!BM17," - ")</f>
        <v xml:space="preserve"> - </v>
      </c>
      <c r="J17" s="1403">
        <f>IF(ISNUMBER(Datos!BY17/Datos!CN17),Datos!BY17/Datos!CN17," - ")</f>
        <v>0</v>
      </c>
      <c r="K17" s="244">
        <f t="shared" si="3"/>
        <v>-5.5749128919860627E-2</v>
      </c>
      <c r="L17" s="1404">
        <f>IF(ISNUMBER(NºAsuntos!I17/NºAsuntos!G17),(NºAsuntos!I17/NºAsuntos!G17)*11," - ")</f>
        <v>8.7036496350364967</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36</v>
      </c>
      <c r="D18" s="239">
        <f>IF(ISNUMBER(IF(D_I="SI",Datos!I18,Datos!I18+Datos!AC18)),IF(D_I="SI",Datos!I18,Datos!I18+Datos!AC18)," - ")</f>
        <v>36</v>
      </c>
      <c r="E18" s="240">
        <f>IF(ISNUMBER(IF(D_I="SI",Datos!J18,Datos!J18+Datos!AD18)),IF(D_I="SI",Datos!J18,Datos!J18+Datos!AD18)," - ")</f>
        <v>60</v>
      </c>
      <c r="F18" s="240">
        <f>IF(ISNUMBER(IF(D_I="SI",Datos!K18,Datos!K18+Datos!AE18)),IF(D_I="SI",Datos!K18,Datos!K18+Datos!AE18)," - ")</f>
        <v>55</v>
      </c>
      <c r="G18" s="1392" t="str">
        <f>IF(Datos!E18&lt;&gt;"",Datos!E18,Datos!D18)</f>
        <v>37</v>
      </c>
      <c r="H18" s="241">
        <f>IF(ISNUMBER(IF(D_I="SI",Datos!L18,Datos!L18+Datos!AF18)),IF(D_I="SI",Datos!L18,Datos!L18+Datos!AF18)," - ")</f>
        <v>41</v>
      </c>
      <c r="I18" s="1402" t="str">
        <f>IF(ISNUMBER(Datos!AS18/Datos!BM18),Datos!AS18/Datos!BM18," - ")</f>
        <v xml:space="preserve"> - </v>
      </c>
      <c r="J18" s="1403" t="str">
        <f>IF(ISNUMBER((Datos!BY18+Datos!BZ18)/Datos!CN18),(Datos!BY18+Datos!BZ18)/Datos!CN18," - ")</f>
        <v xml:space="preserve"> - </v>
      </c>
      <c r="K18" s="244">
        <f t="shared" si="3"/>
        <v>0.1388888888888889</v>
      </c>
      <c r="L18" s="1404">
        <f>IF(ISNUMBER(NºAsuntos!I18/NºAsuntos!G18),(NºAsuntos!I18/NºAsuntos!G18)*11," - ")</f>
        <v>8.2000000000000011</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610</v>
      </c>
      <c r="D23" s="1409">
        <f>SUBTOTAL(9,D16:D22)</f>
        <v>610</v>
      </c>
      <c r="E23" s="1410">
        <f>SUBTOTAL(9,E16:E22)</f>
        <v>713</v>
      </c>
      <c r="F23" s="1410">
        <f>SUBTOTAL(9,F16:F22)</f>
        <v>740</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619</v>
      </c>
      <c r="D31" s="1437">
        <f>SUBTOTAL(9,D9:D30)</f>
        <v>619</v>
      </c>
      <c r="E31" s="1438">
        <f>SUBTOTAL(9,E9:E30)</f>
        <v>716</v>
      </c>
      <c r="F31" s="1438">
        <f>SUBTOTAL(9,F9:F30)</f>
        <v>741</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847</v>
      </c>
      <c r="O37" s="1683"/>
      <c r="P37" s="1683"/>
      <c r="Q37" s="1683"/>
      <c r="R37" s="1683"/>
      <c r="S37" s="1683"/>
      <c r="T37" s="1683"/>
      <c r="U37" s="1683"/>
      <c r="V37" s="1683"/>
      <c r="W37" s="1683"/>
      <c r="Y37" s="1683" t="s">
        <v>848</v>
      </c>
      <c r="Z37" s="1683"/>
      <c r="AA37" s="1683"/>
      <c r="AB37" s="1683"/>
      <c r="AC37" s="1683"/>
    </row>
    <row r="39" spans="2:29">
      <c r="N39" s="1388" t="s">
        <v>849</v>
      </c>
      <c r="O39" s="1678" t="s">
        <v>850</v>
      </c>
      <c r="P39" s="1678"/>
      <c r="Q39" s="1678"/>
      <c r="R39" s="1678"/>
      <c r="S39" s="1678"/>
      <c r="T39" s="1678"/>
      <c r="U39" s="1678"/>
      <c r="V39" s="1678"/>
      <c r="W39" s="1678"/>
      <c r="Y39" s="1388" t="s">
        <v>849</v>
      </c>
      <c r="Z39" s="1681" t="s">
        <v>851</v>
      </c>
      <c r="AA39" s="1681"/>
      <c r="AB39" s="1681"/>
      <c r="AC39" s="1681"/>
    </row>
    <row r="40" spans="2:29">
      <c r="N40" s="1388" t="s">
        <v>852</v>
      </c>
      <c r="O40" s="1678" t="s">
        <v>853</v>
      </c>
      <c r="P40" s="1678"/>
      <c r="Q40" s="1678"/>
      <c r="R40" s="1678"/>
      <c r="S40" s="1678"/>
      <c r="T40" s="1678"/>
      <c r="U40" s="1678"/>
      <c r="V40" s="1678"/>
      <c r="W40" s="1678"/>
      <c r="Y40" s="1388" t="s">
        <v>852</v>
      </c>
      <c r="Z40" s="1681" t="s">
        <v>854</v>
      </c>
      <c r="AA40" s="1681"/>
      <c r="AB40" s="1681"/>
      <c r="AC40" s="1681"/>
    </row>
    <row r="41" spans="2:29">
      <c r="N41" s="1388" t="s">
        <v>855</v>
      </c>
      <c r="O41" s="1678" t="s">
        <v>856</v>
      </c>
      <c r="P41" s="1678"/>
      <c r="Q41" s="1678"/>
      <c r="R41" s="1678"/>
      <c r="S41" s="1678"/>
      <c r="T41" s="1678"/>
      <c r="U41" s="1678"/>
      <c r="V41" s="1678"/>
      <c r="W41" s="1678"/>
      <c r="Y41" s="1388" t="s">
        <v>857</v>
      </c>
      <c r="Z41" s="1681" t="s">
        <v>858</v>
      </c>
      <c r="AA41" s="1681"/>
      <c r="AB41" s="1681"/>
      <c r="AC41" s="1681"/>
    </row>
    <row r="42" spans="2:29">
      <c r="N42" s="1388" t="s">
        <v>859</v>
      </c>
      <c r="O42" s="1678" t="s">
        <v>860</v>
      </c>
      <c r="P42" s="1678"/>
      <c r="Q42" s="1678"/>
      <c r="R42" s="1678"/>
      <c r="S42" s="1678"/>
      <c r="T42" s="1678"/>
      <c r="U42" s="1678"/>
      <c r="V42" s="1678"/>
      <c r="W42" s="1678"/>
      <c r="Y42" s="1388" t="s">
        <v>861</v>
      </c>
      <c r="Z42" s="1681" t="s">
        <v>862</v>
      </c>
      <c r="AA42" s="1681"/>
      <c r="AB42" s="1681"/>
      <c r="AC42" s="1681"/>
    </row>
    <row r="43" spans="2:29">
      <c r="N43" s="1388" t="s">
        <v>949</v>
      </c>
      <c r="O43" s="1678" t="s">
        <v>950</v>
      </c>
      <c r="P43" s="1678"/>
      <c r="Q43" s="1678"/>
      <c r="R43" s="1678"/>
      <c r="S43" s="1678"/>
      <c r="T43" s="1678"/>
      <c r="U43" s="1678"/>
      <c r="V43" s="1678"/>
      <c r="W43" s="1678"/>
      <c r="Y43" s="1388" t="s">
        <v>855</v>
      </c>
      <c r="Z43" s="1681" t="s">
        <v>856</v>
      </c>
      <c r="AA43" s="1681"/>
      <c r="AB43" s="1681"/>
      <c r="AC43" s="1681"/>
    </row>
    <row r="44" spans="2:29">
      <c r="N44" s="1388" t="s">
        <v>863</v>
      </c>
      <c r="O44" s="1678" t="s">
        <v>864</v>
      </c>
      <c r="P44" s="1678"/>
      <c r="Q44" s="1678"/>
      <c r="R44" s="1678"/>
      <c r="S44" s="1678"/>
      <c r="T44" s="1678"/>
      <c r="U44" s="1678"/>
      <c r="V44" s="1678"/>
      <c r="W44" s="1678"/>
      <c r="Y44" s="1388" t="s">
        <v>859</v>
      </c>
      <c r="Z44" s="1681" t="s">
        <v>860</v>
      </c>
      <c r="AA44" s="1681"/>
      <c r="AB44" s="1681"/>
      <c r="AC44" s="1681"/>
    </row>
    <row r="45" spans="2:29">
      <c r="N45" s="1388" t="s">
        <v>865</v>
      </c>
      <c r="O45" s="1678" t="s">
        <v>866</v>
      </c>
      <c r="P45" s="1678"/>
      <c r="Q45" s="1678"/>
      <c r="R45" s="1678"/>
      <c r="S45" s="1678"/>
      <c r="T45" s="1678"/>
      <c r="U45" s="1678"/>
      <c r="V45" s="1678"/>
      <c r="W45" s="1678"/>
      <c r="Y45" s="1388" t="s">
        <v>868</v>
      </c>
      <c r="Z45" s="1681" t="s">
        <v>869</v>
      </c>
      <c r="AA45" s="1681"/>
      <c r="AB45" s="1681"/>
      <c r="AC45" s="1681"/>
    </row>
    <row r="46" spans="2:29">
      <c r="N46" s="1388" t="s">
        <v>857</v>
      </c>
      <c r="O46" s="1678" t="s">
        <v>867</v>
      </c>
      <c r="P46" s="1678"/>
      <c r="Q46" s="1678"/>
      <c r="R46" s="1678"/>
      <c r="S46" s="1678"/>
      <c r="T46" s="1678"/>
      <c r="U46" s="1678"/>
      <c r="V46" s="1678"/>
      <c r="W46" s="1678"/>
      <c r="Y46" s="1388" t="s">
        <v>871</v>
      </c>
      <c r="Z46" s="1681" t="s">
        <v>872</v>
      </c>
      <c r="AA46" s="1681"/>
      <c r="AB46" s="1681"/>
      <c r="AC46" s="1681"/>
    </row>
    <row r="47" spans="2:29">
      <c r="N47" s="1388" t="s">
        <v>861</v>
      </c>
      <c r="O47" s="1678" t="s">
        <v>870</v>
      </c>
      <c r="P47" s="1678"/>
      <c r="Q47" s="1678"/>
      <c r="R47" s="1678"/>
      <c r="S47" s="1678"/>
      <c r="T47" s="1678"/>
      <c r="U47" s="1678"/>
      <c r="V47" s="1678"/>
      <c r="W47" s="1678"/>
      <c r="Y47" s="1389" t="s">
        <v>874</v>
      </c>
      <c r="Z47" s="1679" t="s">
        <v>875</v>
      </c>
      <c r="AA47" s="1679"/>
      <c r="AB47" s="1679"/>
      <c r="AC47" s="1679"/>
    </row>
    <row r="48" spans="2:29">
      <c r="N48" s="1388" t="s">
        <v>868</v>
      </c>
      <c r="O48" s="1678" t="s">
        <v>873</v>
      </c>
      <c r="P48" s="1678"/>
      <c r="Q48" s="1678"/>
      <c r="R48" s="1678"/>
      <c r="S48" s="1678"/>
      <c r="T48" s="1678"/>
      <c r="U48" s="1678"/>
      <c r="V48" s="1678"/>
      <c r="W48" s="1678"/>
      <c r="Y48" s="1388" t="s">
        <v>863</v>
      </c>
      <c r="Z48" s="1681" t="s">
        <v>864</v>
      </c>
      <c r="AA48" s="1681"/>
      <c r="AB48" s="1681"/>
      <c r="AC48" s="1681"/>
    </row>
    <row r="49" spans="14:29">
      <c r="N49" s="1388" t="s">
        <v>876</v>
      </c>
      <c r="O49" s="1678" t="s">
        <v>877</v>
      </c>
      <c r="P49" s="1678"/>
      <c r="Q49" s="1678"/>
      <c r="R49" s="1678"/>
      <c r="S49" s="1678"/>
      <c r="T49" s="1678"/>
      <c r="U49" s="1678"/>
      <c r="V49" s="1678"/>
      <c r="W49" s="1678"/>
      <c r="Y49" s="1390" t="s">
        <v>865</v>
      </c>
      <c r="Z49" s="1682" t="s">
        <v>866</v>
      </c>
      <c r="AA49" s="1682"/>
      <c r="AB49" s="1682"/>
      <c r="AC49" s="1682"/>
    </row>
    <row r="50" spans="14:29">
      <c r="N50" s="1388" t="s">
        <v>871</v>
      </c>
      <c r="O50" s="1678" t="s">
        <v>878</v>
      </c>
      <c r="P50" s="1678"/>
      <c r="Q50" s="1678"/>
      <c r="R50" s="1678"/>
      <c r="S50" s="1678"/>
      <c r="T50" s="1678"/>
      <c r="U50" s="1678"/>
      <c r="V50" s="1678"/>
      <c r="W50" s="1678"/>
    </row>
    <row r="51" spans="14:29">
      <c r="N51" s="1390" t="s">
        <v>874</v>
      </c>
      <c r="O51" s="1680" t="s">
        <v>879</v>
      </c>
      <c r="P51" s="1680"/>
      <c r="Q51" s="1680"/>
      <c r="R51" s="1680"/>
      <c r="S51" s="1680"/>
      <c r="T51" s="1680"/>
      <c r="U51" s="1680"/>
      <c r="V51" s="1680"/>
      <c r="W51" s="1680"/>
    </row>
  </sheetData>
  <sheetProtection algorithmName="SHA-512" hashValue="P2QVgLM85h7NExkmVRC9KPGpqB12qWFByHVzPQSyOudxr1ybkPmLdvPQBIk7QoW/Sislg+iqNg6CnhWYVdYI/g==" saltValue="VtHr8g1asFnArJQDGRFer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TT2Ve7sVvHuN4/6kE5vN6Wz3N5C9KrwRLunq0QyY4dxr/fumThrYPZPYqPijyVTssuAbi2t07e9tMKHr5qlJew==" saltValue="wfmaOZFKn8QwE9DZTf8+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c r="BO5" s="1606"/>
      <c r="BP5" s="1605"/>
      <c r="BQ5" s="1606"/>
      <c r="BR5" s="1605"/>
      <c r="BS5" s="1606"/>
      <c r="BT5" s="1605"/>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646</v>
      </c>
      <c r="DM5" s="1743" t="s">
        <v>719</v>
      </c>
      <c r="DN5" s="1743" t="s">
        <v>720</v>
      </c>
      <c r="DO5" s="1743" t="s">
        <v>721</v>
      </c>
      <c r="DP5" s="1743" t="s">
        <v>722</v>
      </c>
      <c r="DQ5" s="1743" t="s">
        <v>723</v>
      </c>
      <c r="DR5" s="1743" t="s">
        <v>724</v>
      </c>
      <c r="DS5" s="1743" t="s">
        <v>725</v>
      </c>
      <c r="DT5" s="1743" t="s">
        <v>726</v>
      </c>
      <c r="DU5" s="1762" t="s">
        <v>727</v>
      </c>
      <c r="DV5" s="1750" t="s">
        <v>728</v>
      </c>
      <c r="DW5" s="1747" t="s">
        <v>729</v>
      </c>
      <c r="DX5" s="1743" t="s">
        <v>730</v>
      </c>
      <c r="DY5" s="1731" t="s">
        <v>731</v>
      </c>
      <c r="DZ5" s="1747" t="s">
        <v>732</v>
      </c>
      <c r="EA5" s="1731" t="s">
        <v>733</v>
      </c>
      <c r="EB5" s="1740" t="s">
        <v>793</v>
      </c>
      <c r="EC5" s="1740" t="s">
        <v>794</v>
      </c>
      <c r="ED5" s="1740" t="s">
        <v>795</v>
      </c>
      <c r="EE5" s="1740" t="s">
        <v>835</v>
      </c>
      <c r="EF5" s="1740" t="s">
        <v>839</v>
      </c>
      <c r="EG5" s="1731" t="s">
        <v>837</v>
      </c>
      <c r="EH5" s="1731" t="s">
        <v>838</v>
      </c>
      <c r="EI5" s="1731" t="s">
        <v>797</v>
      </c>
      <c r="EJ5" s="1731" t="s">
        <v>798</v>
      </c>
      <c r="EK5" s="1728" t="s">
        <v>886</v>
      </c>
      <c r="EL5" s="1734" t="s">
        <v>904</v>
      </c>
      <c r="EM5" s="1735"/>
      <c r="EN5" s="1736"/>
      <c r="EO5" s="1725" t="s">
        <v>1010</v>
      </c>
      <c r="EP5" s="1725" t="s">
        <v>1012</v>
      </c>
      <c r="EQ5" s="1725" t="s">
        <v>1013</v>
      </c>
      <c r="ER5" s="1725" t="s">
        <v>1019</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905</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9</v>
      </c>
      <c r="J10" s="194">
        <v>3</v>
      </c>
      <c r="K10" s="194">
        <v>1</v>
      </c>
      <c r="L10" s="194">
        <v>11</v>
      </c>
      <c r="M10" s="194">
        <v>1</v>
      </c>
      <c r="N10" s="194">
        <v>0</v>
      </c>
      <c r="O10" s="194">
        <v>0</v>
      </c>
      <c r="P10" s="194">
        <v>0</v>
      </c>
      <c r="Q10" s="194">
        <v>0</v>
      </c>
      <c r="R10" s="194">
        <v>2</v>
      </c>
      <c r="S10" s="194">
        <v>23</v>
      </c>
      <c r="T10" s="194">
        <v>2</v>
      </c>
      <c r="U10" s="194">
        <v>0</v>
      </c>
      <c r="V10" s="194">
        <v>25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23</v>
      </c>
      <c r="AZ10" s="139">
        <f t="shared" si="0"/>
        <v>2</v>
      </c>
      <c r="BA10" s="139">
        <f t="shared" si="0"/>
        <v>0</v>
      </c>
      <c r="BB10" s="139">
        <f t="shared" si="0"/>
        <v>25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1270</v>
      </c>
      <c r="J12" s="196">
        <v>906</v>
      </c>
      <c r="K12" s="196">
        <v>771</v>
      </c>
      <c r="L12" s="196">
        <v>1405</v>
      </c>
      <c r="M12" s="196">
        <v>191</v>
      </c>
      <c r="N12" s="196">
        <v>465</v>
      </c>
      <c r="O12" s="194">
        <v>238</v>
      </c>
      <c r="P12" s="196">
        <v>149</v>
      </c>
      <c r="Q12" s="196">
        <v>83</v>
      </c>
      <c r="R12" s="196">
        <v>3086</v>
      </c>
      <c r="S12" s="196">
        <v>1396</v>
      </c>
      <c r="T12" s="196">
        <v>684</v>
      </c>
      <c r="U12" s="196">
        <v>745</v>
      </c>
      <c r="V12" s="196">
        <v>1335</v>
      </c>
      <c r="W12" s="196">
        <v>152</v>
      </c>
      <c r="X12" s="202">
        <v>376</v>
      </c>
      <c r="Y12" s="204">
        <v>82</v>
      </c>
      <c r="Z12" s="194">
        <v>54</v>
      </c>
      <c r="AA12" s="194">
        <v>44</v>
      </c>
      <c r="AB12" s="194">
        <v>92</v>
      </c>
      <c r="AC12" s="196">
        <v>0</v>
      </c>
      <c r="AD12" s="196">
        <v>0</v>
      </c>
      <c r="AE12" s="196">
        <v>0</v>
      </c>
      <c r="AF12" s="202">
        <v>0</v>
      </c>
      <c r="AG12" s="215">
        <v>82</v>
      </c>
      <c r="AH12" s="196">
        <v>35</v>
      </c>
      <c r="AI12" s="196">
        <v>48</v>
      </c>
      <c r="AJ12" s="216">
        <v>69</v>
      </c>
      <c r="AK12" s="195">
        <v>0</v>
      </c>
      <c r="AL12" s="196">
        <v>0</v>
      </c>
      <c r="AM12" s="196">
        <v>0</v>
      </c>
      <c r="AN12" s="202">
        <v>0</v>
      </c>
      <c r="AO12" s="283">
        <v>3</v>
      </c>
      <c r="AP12" s="168">
        <v>3</v>
      </c>
      <c r="AQ12" s="168">
        <v>3</v>
      </c>
      <c r="AR12" s="167">
        <v>3</v>
      </c>
      <c r="AS12" s="382" t="s">
        <v>1089</v>
      </c>
      <c r="AT12" s="216"/>
      <c r="AU12" s="215"/>
      <c r="AV12" s="216"/>
      <c r="AW12" s="215"/>
      <c r="AX12" s="216"/>
      <c r="AY12" s="136">
        <f t="shared" si="1"/>
        <v>1478</v>
      </c>
      <c r="AZ12" s="137">
        <f t="shared" si="1"/>
        <v>719</v>
      </c>
      <c r="BA12" s="137">
        <f t="shared" si="1"/>
        <v>793</v>
      </c>
      <c r="BB12" s="137">
        <f t="shared" si="1"/>
        <v>1404</v>
      </c>
      <c r="BC12" s="135">
        <f>IF(ISNUMBER(X12),X12," - ")</f>
        <v>376</v>
      </c>
      <c r="BD12" s="136">
        <f t="shared" si="2"/>
        <v>1.1029207232267038</v>
      </c>
      <c r="BE12" s="137">
        <f t="shared" si="3"/>
        <v>1.7704918032786885</v>
      </c>
      <c r="BF12" s="137">
        <f t="shared" si="4"/>
        <v>0.47414880201765447</v>
      </c>
      <c r="BG12" s="209">
        <f t="shared" si="5"/>
        <v>2.7704918032786887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1279</v>
      </c>
      <c r="J14" s="197">
        <f t="shared" si="7"/>
        <v>909</v>
      </c>
      <c r="K14" s="197">
        <f t="shared" si="7"/>
        <v>772</v>
      </c>
      <c r="L14" s="197">
        <f t="shared" si="7"/>
        <v>1416</v>
      </c>
      <c r="M14" s="197">
        <f t="shared" si="7"/>
        <v>192</v>
      </c>
      <c r="N14" s="197">
        <f t="shared" si="7"/>
        <v>465</v>
      </c>
      <c r="O14" s="197">
        <f t="shared" si="7"/>
        <v>238</v>
      </c>
      <c r="P14" s="197">
        <f t="shared" si="7"/>
        <v>149</v>
      </c>
      <c r="Q14" s="197">
        <f t="shared" si="7"/>
        <v>83</v>
      </c>
      <c r="R14" s="197">
        <f t="shared" si="7"/>
        <v>3088</v>
      </c>
      <c r="S14" s="197">
        <f t="shared" si="7"/>
        <v>1419</v>
      </c>
      <c r="T14" s="197">
        <f t="shared" si="7"/>
        <v>686</v>
      </c>
      <c r="U14" s="197">
        <f t="shared" si="7"/>
        <v>745</v>
      </c>
      <c r="V14" s="197">
        <f t="shared" si="7"/>
        <v>1360</v>
      </c>
      <c r="W14" s="197">
        <f t="shared" si="7"/>
        <v>152</v>
      </c>
      <c r="X14" s="197">
        <f t="shared" si="7"/>
        <v>376</v>
      </c>
      <c r="Y14" s="197">
        <f t="shared" si="7"/>
        <v>82</v>
      </c>
      <c r="Z14" s="197">
        <f t="shared" si="7"/>
        <v>54</v>
      </c>
      <c r="AA14" s="197">
        <f t="shared" si="7"/>
        <v>44</v>
      </c>
      <c r="AB14" s="197">
        <f t="shared" si="7"/>
        <v>92</v>
      </c>
      <c r="AC14" s="197">
        <f t="shared" si="7"/>
        <v>0</v>
      </c>
      <c r="AD14" s="197">
        <f t="shared" si="7"/>
        <v>0</v>
      </c>
      <c r="AE14" s="197">
        <f t="shared" si="7"/>
        <v>0</v>
      </c>
      <c r="AF14" s="197">
        <f>SUBTOTAL(9,AF9:AF13)</f>
        <v>0</v>
      </c>
      <c r="AG14" s="197">
        <f t="shared" ref="AG14:AT14" si="8">SUBTOTAL(9,AG8:AG13)</f>
        <v>82</v>
      </c>
      <c r="AH14" s="197">
        <f t="shared" si="8"/>
        <v>35</v>
      </c>
      <c r="AI14" s="197">
        <f t="shared" si="8"/>
        <v>48</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1501</v>
      </c>
      <c r="AZ14" s="197">
        <f>SUBTOTAL(9,AZ8:AZ13)</f>
        <v>721</v>
      </c>
      <c r="BA14" s="197">
        <f>SUBTOTAL(9,BA8:BA13)</f>
        <v>793</v>
      </c>
      <c r="BB14" s="197">
        <f>SUBTOTAL(9,BB8:BB13)</f>
        <v>1429</v>
      </c>
      <c r="BC14" s="197">
        <f>SUBTOTAL(9,BC8:BC13)</f>
        <v>376</v>
      </c>
      <c r="BD14" s="219">
        <f>IF(ISNUMBER(BA14/AZ14),BA14/AZ14," - ")</f>
        <v>1.0998613037447988</v>
      </c>
      <c r="BE14" s="220">
        <f>IF(ISNUMBER(BB14/BA14),BB14/BA14, " - ")</f>
        <v>1.8020176544766708</v>
      </c>
      <c r="BF14" s="220">
        <f>IF(ISNUMBER(BC14/BA14),BC14/BA14, " - ")</f>
        <v>0.47414880201765447</v>
      </c>
      <c r="BG14" s="221">
        <f>IF(ISNUMBER((AY14+AZ14)/BA14),(AY14+AZ14)/BA14," - ")</f>
        <v>2.8020176544766708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574</v>
      </c>
      <c r="J17" s="196">
        <v>653</v>
      </c>
      <c r="K17" s="196">
        <v>685</v>
      </c>
      <c r="L17" s="196">
        <v>542</v>
      </c>
      <c r="M17" s="196">
        <v>101</v>
      </c>
      <c r="N17" s="196">
        <v>447</v>
      </c>
      <c r="O17" s="194">
        <v>18</v>
      </c>
      <c r="P17" s="196">
        <v>31</v>
      </c>
      <c r="Q17" s="196">
        <v>26</v>
      </c>
      <c r="R17" s="196">
        <v>134</v>
      </c>
      <c r="S17" s="196">
        <v>679</v>
      </c>
      <c r="T17" s="196">
        <v>692</v>
      </c>
      <c r="U17" s="196">
        <v>754</v>
      </c>
      <c r="V17" s="196">
        <v>617</v>
      </c>
      <c r="W17" s="196">
        <v>136</v>
      </c>
      <c r="X17" s="202">
        <v>531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2" t="s">
        <v>653</v>
      </c>
      <c r="AT17" s="216"/>
      <c r="AU17" s="215"/>
      <c r="AV17" s="216"/>
      <c r="AW17" s="215"/>
      <c r="AX17" s="216"/>
      <c r="AY17" s="136">
        <f t="shared" si="10"/>
        <v>679</v>
      </c>
      <c r="AZ17" s="137">
        <f t="shared" si="10"/>
        <v>692</v>
      </c>
      <c r="BA17" s="137">
        <f t="shared" si="10"/>
        <v>754</v>
      </c>
      <c r="BB17" s="137">
        <f t="shared" si="10"/>
        <v>617</v>
      </c>
      <c r="BC17" s="135">
        <f>IF(ISNUMBER(W17),W17," - ")</f>
        <v>136</v>
      </c>
      <c r="BD17" s="136">
        <f t="shared" ref="BD17:BD22" si="12">IF(ISNUMBER(BA17/AZ17),BA17/AZ17," - ")</f>
        <v>1.0895953757225434</v>
      </c>
      <c r="BE17" s="137">
        <f t="shared" ref="BE17:BE22" si="13">IF(ISNUMBER(BB17/BA17),BB17/BA17, " - ")</f>
        <v>0.8183023872679045</v>
      </c>
      <c r="BF17" s="137">
        <f t="shared" ref="BF17:BF22" si="14">IF(ISNUMBER(BC17/BA17),BC17/BA17, " - ")</f>
        <v>0.18037135278514588</v>
      </c>
      <c r="BG17" s="209">
        <f t="shared" si="11"/>
        <v>1.8183023872679045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36</v>
      </c>
      <c r="J18" s="196">
        <v>60</v>
      </c>
      <c r="K18" s="196">
        <v>55</v>
      </c>
      <c r="L18" s="196">
        <v>41</v>
      </c>
      <c r="M18" s="196">
        <v>18</v>
      </c>
      <c r="N18" s="196">
        <v>41</v>
      </c>
      <c r="O18" s="196">
        <v>0</v>
      </c>
      <c r="P18" s="196">
        <v>7</v>
      </c>
      <c r="Q18" s="196">
        <v>3</v>
      </c>
      <c r="R18" s="196">
        <v>16</v>
      </c>
      <c r="S18" s="196">
        <v>12</v>
      </c>
      <c r="T18" s="196">
        <v>50</v>
      </c>
      <c r="U18" s="196">
        <v>57</v>
      </c>
      <c r="V18" s="196">
        <v>5</v>
      </c>
      <c r="W18" s="196">
        <v>17</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12</v>
      </c>
      <c r="AZ18" s="139">
        <f t="shared" si="15"/>
        <v>50</v>
      </c>
      <c r="BA18" s="139">
        <f t="shared" si="15"/>
        <v>57</v>
      </c>
      <c r="BB18" s="139">
        <f t="shared" si="15"/>
        <v>5</v>
      </c>
      <c r="BC18" s="135">
        <f>IF(ISNUMBER(W18),W18," - ")</f>
        <v>17</v>
      </c>
      <c r="BD18" s="136">
        <f>IF(ISNUMBER(BA18/AZ18),BA18/AZ18," - ")</f>
        <v>1.1399999999999999</v>
      </c>
      <c r="BE18" s="137">
        <f>IF(ISNUMBER(BB18/BA18),BB18/BA18, " - ")</f>
        <v>8.771929824561403E-2</v>
      </c>
      <c r="BF18" s="137">
        <f>IF(ISNUMBER(BC18/BA18),BC18/BA18, " - ")</f>
        <v>0.2982456140350877</v>
      </c>
      <c r="BG18" s="209">
        <f>IF(ISNUMBER((AY18+AZ18)/BA18),(AY18+AZ18)/BA18," - ")</f>
        <v>1.0877192982456141</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610</v>
      </c>
      <c r="J23" s="197">
        <f t="shared" si="21"/>
        <v>713</v>
      </c>
      <c r="K23" s="197">
        <f t="shared" si="21"/>
        <v>740</v>
      </c>
      <c r="L23" s="197">
        <f t="shared" si="21"/>
        <v>583</v>
      </c>
      <c r="M23" s="197">
        <f t="shared" si="21"/>
        <v>119</v>
      </c>
      <c r="N23" s="197">
        <f t="shared" si="21"/>
        <v>488</v>
      </c>
      <c r="O23" s="197">
        <f t="shared" si="21"/>
        <v>18</v>
      </c>
      <c r="P23" s="197">
        <f t="shared" si="21"/>
        <v>38</v>
      </c>
      <c r="Q23" s="197">
        <f t="shared" si="21"/>
        <v>29</v>
      </c>
      <c r="R23" s="197">
        <f t="shared" si="21"/>
        <v>150</v>
      </c>
      <c r="S23" s="197">
        <f t="shared" si="21"/>
        <v>691</v>
      </c>
      <c r="T23" s="197">
        <f t="shared" si="21"/>
        <v>742</v>
      </c>
      <c r="U23" s="197">
        <f t="shared" si="21"/>
        <v>811</v>
      </c>
      <c r="V23" s="197">
        <f t="shared" si="21"/>
        <v>622</v>
      </c>
      <c r="W23" s="197">
        <f t="shared" si="21"/>
        <v>153</v>
      </c>
      <c r="X23" s="197">
        <f t="shared" si="21"/>
        <v>577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691</v>
      </c>
      <c r="AZ23" s="197">
        <f>SUBTOTAL(9,AZ15:AZ22)</f>
        <v>742</v>
      </c>
      <c r="BA23" s="197">
        <f>SUBTOTAL(9,BA15:BA22)</f>
        <v>811</v>
      </c>
      <c r="BB23" s="197">
        <f>SUBTOTAL(9,BB15:BB22)</f>
        <v>622</v>
      </c>
      <c r="BC23" s="197">
        <f>SUBTOTAL(9,BC15:BC22)</f>
        <v>153</v>
      </c>
      <c r="BD23" s="219">
        <f>IF(ISNUMBER(BA23/AZ23),BA23/AZ23," - ")</f>
        <v>1.0929919137466306</v>
      </c>
      <c r="BE23" s="220">
        <f>IF(ISNUMBER(BB23/BA23),BB23/BA23, " - ")</f>
        <v>0.76695437731196059</v>
      </c>
      <c r="BF23" s="220">
        <f>IF(ISNUMBER(BC23/BA23),BC23/BA23, " - ")</f>
        <v>0.18865598027127004</v>
      </c>
      <c r="BG23" s="221">
        <f>IF(ISNUMBER((AY23+AZ23)/BA23),(AY23+AZ23)/BA23," - ")</f>
        <v>1.7669543773119605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1889</v>
      </c>
      <c r="J31" s="144">
        <f t="shared" si="36"/>
        <v>1622</v>
      </c>
      <c r="K31" s="144">
        <f t="shared" si="36"/>
        <v>1512</v>
      </c>
      <c r="L31" s="144">
        <f t="shared" si="36"/>
        <v>1999</v>
      </c>
      <c r="M31" s="144">
        <f t="shared" si="36"/>
        <v>311</v>
      </c>
      <c r="N31" s="144">
        <f t="shared" si="36"/>
        <v>953</v>
      </c>
      <c r="O31" s="144">
        <f t="shared" si="36"/>
        <v>256</v>
      </c>
      <c r="P31" s="144">
        <f t="shared" si="36"/>
        <v>187</v>
      </c>
      <c r="Q31" s="144">
        <f t="shared" si="36"/>
        <v>112</v>
      </c>
      <c r="R31" s="144">
        <f t="shared" si="36"/>
        <v>3238</v>
      </c>
      <c r="S31" s="144">
        <f t="shared" si="36"/>
        <v>2110</v>
      </c>
      <c r="T31" s="144">
        <f t="shared" si="36"/>
        <v>1428</v>
      </c>
      <c r="U31" s="144">
        <f t="shared" si="36"/>
        <v>1556</v>
      </c>
      <c r="V31" s="144">
        <f t="shared" si="36"/>
        <v>1982</v>
      </c>
      <c r="W31" s="144">
        <f t="shared" si="36"/>
        <v>305</v>
      </c>
      <c r="X31" s="144">
        <f t="shared" si="36"/>
        <v>953</v>
      </c>
      <c r="Y31" s="144">
        <f t="shared" si="36"/>
        <v>82</v>
      </c>
      <c r="Z31" s="144">
        <f t="shared" si="36"/>
        <v>54</v>
      </c>
      <c r="AA31" s="144">
        <f t="shared" si="36"/>
        <v>44</v>
      </c>
      <c r="AB31" s="144">
        <f t="shared" si="36"/>
        <v>92</v>
      </c>
      <c r="AC31" s="144">
        <f t="shared" si="36"/>
        <v>0</v>
      </c>
      <c r="AD31" s="144">
        <f t="shared" si="36"/>
        <v>0</v>
      </c>
      <c r="AE31" s="144">
        <f t="shared" si="36"/>
        <v>0</v>
      </c>
      <c r="AF31" s="144">
        <f t="shared" si="36"/>
        <v>0</v>
      </c>
      <c r="AG31" s="144">
        <f t="shared" si="36"/>
        <v>82</v>
      </c>
      <c r="AH31" s="144">
        <f t="shared" si="36"/>
        <v>35</v>
      </c>
      <c r="AI31" s="144">
        <f t="shared" si="36"/>
        <v>48</v>
      </c>
      <c r="AJ31" s="144">
        <f t="shared" si="36"/>
        <v>69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2192</v>
      </c>
      <c r="AZ31" s="144">
        <f>SUBTOTAL(9,AZ9:AZ30)</f>
        <v>1463</v>
      </c>
      <c r="BA31" s="144">
        <f>SUBTOTAL(9,BA9:BA30)</f>
        <v>1604</v>
      </c>
      <c r="BB31" s="144">
        <f>SUBTOTAL(9,BB9:BB30)</f>
        <v>2051</v>
      </c>
      <c r="BC31" s="145">
        <f>SUBTOTAL(9,BC9:BC30)</f>
        <v>529</v>
      </c>
      <c r="BD31" s="227">
        <f>IF(ISNUMBER(BA31/AZ31),BA31/AZ31," - ")</f>
        <v>1.0963773069036227</v>
      </c>
      <c r="BE31" s="224">
        <f>IF(ISNUMBER(BB31/BA31),BB31/BA31, " - ")</f>
        <v>1.2786783042394014</v>
      </c>
      <c r="BF31" s="224">
        <f>IF(ISNUMBER(BC31/BA31),BC31/BA31, " - ")</f>
        <v>0.32980049875311723</v>
      </c>
      <c r="BG31" s="145">
        <f>IF(ISNUMBER((AY31+AZ31)/BA31),(AY31+AZ31)/BA31," - ")</f>
        <v>2.2786783042394014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i9kp4Ux5ukbFVG3S6NmtyhU421g5wEh+iHvudf9v5lLvPYdDtH/NP8uUBdeALZfJkuvd50iicvFdouU3Jixw==" saltValue="2NE1f88khPaCXefKjNpl4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506</v>
      </c>
      <c r="BN5" s="1605"/>
      <c r="BO5" s="1606"/>
      <c r="BP5" s="1605"/>
      <c r="BQ5" s="1606"/>
      <c r="BR5" s="1605"/>
      <c r="BS5" s="1606"/>
      <c r="BT5" s="1605"/>
      <c r="BU5" s="1606"/>
      <c r="BV5" s="1789" t="s">
        <v>352</v>
      </c>
      <c r="BW5" s="1842" t="s">
        <v>330</v>
      </c>
      <c r="BX5" s="1842"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605</v>
      </c>
      <c r="CL5" s="1744" t="s">
        <v>606</v>
      </c>
      <c r="CM5" s="1744" t="s">
        <v>607</v>
      </c>
      <c r="CN5" s="1766" t="s">
        <v>488</v>
      </c>
      <c r="CO5" s="1766" t="s">
        <v>481</v>
      </c>
      <c r="CP5" s="1766" t="s">
        <v>487</v>
      </c>
      <c r="CQ5" s="1759" t="s">
        <v>486</v>
      </c>
      <c r="CR5" s="1759" t="s">
        <v>61</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645</v>
      </c>
      <c r="DM5" s="1743" t="s">
        <v>719</v>
      </c>
      <c r="DN5" s="1743" t="s">
        <v>720</v>
      </c>
      <c r="DO5" s="1743" t="s">
        <v>721</v>
      </c>
      <c r="DP5" s="1743" t="s">
        <v>722</v>
      </c>
      <c r="DQ5" s="1743" t="s">
        <v>723</v>
      </c>
      <c r="DR5" s="1743" t="s">
        <v>724</v>
      </c>
      <c r="DS5" s="1743" t="s">
        <v>725</v>
      </c>
      <c r="DT5" s="1743" t="s">
        <v>726</v>
      </c>
      <c r="DU5" s="1750" t="s">
        <v>727</v>
      </c>
      <c r="DV5" s="1750" t="s">
        <v>728</v>
      </c>
      <c r="DW5" s="1747" t="s">
        <v>729</v>
      </c>
      <c r="DX5" s="1743" t="s">
        <v>730</v>
      </c>
      <c r="DY5" s="1731" t="s">
        <v>731</v>
      </c>
      <c r="DZ5" s="1747" t="s">
        <v>732</v>
      </c>
      <c r="EA5" s="1731" t="s">
        <v>733</v>
      </c>
      <c r="EB5" s="1740" t="s">
        <v>793</v>
      </c>
      <c r="EC5" s="1740" t="s">
        <v>830</v>
      </c>
      <c r="ED5" s="1740" t="s">
        <v>795</v>
      </c>
      <c r="EE5" s="1740" t="s">
        <v>835</v>
      </c>
      <c r="EF5" s="1740" t="s">
        <v>836</v>
      </c>
      <c r="EG5" s="1731" t="s">
        <v>837</v>
      </c>
      <c r="EH5" s="1731" t="s">
        <v>838</v>
      </c>
      <c r="EI5" s="1731" t="s">
        <v>797</v>
      </c>
      <c r="EJ5" s="1731" t="s">
        <v>798</v>
      </c>
      <c r="EK5" s="1839" t="s">
        <v>886</v>
      </c>
      <c r="EL5" s="1734" t="s">
        <v>904</v>
      </c>
      <c r="EM5" s="1735"/>
      <c r="EN5" s="1736"/>
      <c r="EO5" s="1725" t="s">
        <v>1010</v>
      </c>
      <c r="EP5" s="1725" t="s">
        <v>1012</v>
      </c>
      <c r="EQ5" s="1725" t="s">
        <v>1013</v>
      </c>
      <c r="ER5" s="1725" t="s">
        <v>1019</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905</v>
      </c>
      <c r="EM7" s="852" t="s">
        <v>129</v>
      </c>
      <c r="EN7" s="852" t="s">
        <v>130</v>
      </c>
      <c r="EO7" s="1727"/>
      <c r="EP7" s="1727"/>
      <c r="EQ7" s="1727"/>
      <c r="ER7" s="1727"/>
      <c r="ES7" s="1727"/>
      <c r="ET7" s="1724"/>
      <c r="EU7" s="1724"/>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UYeUVdvWaFJDcKUsJeQ+qsk8i3yRezX96auhN9aJWrr8PVxoB48qNynuu0Uz7UlmprVLvcyr61siQpaM2mOg==" saltValue="qfewAP4ZJovo6A2rOhib/g=="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ARUCAS</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469</v>
      </c>
      <c r="B5" s="297"/>
      <c r="C5" s="1881" t="str">
        <f>"Año:  " &amp;Criterios!B$5 &amp; "          Trimestre   " &amp;Criterios!D$5 &amp; " al " &amp;Criterios!D$6</f>
        <v>Año:  2021          Trimestre   4 al 4</v>
      </c>
      <c r="D5" s="1845" t="s">
        <v>495</v>
      </c>
      <c r="E5" s="1845" t="s">
        <v>762</v>
      </c>
      <c r="F5" s="1883" t="s">
        <v>531</v>
      </c>
      <c r="G5" s="1845" t="s">
        <v>176</v>
      </c>
      <c r="H5" s="1845" t="s">
        <v>795</v>
      </c>
      <c r="I5" s="1845" t="s">
        <v>763</v>
      </c>
      <c r="J5" s="1845" t="s">
        <v>880</v>
      </c>
      <c r="K5" s="1845" t="s">
        <v>881</v>
      </c>
      <c r="L5" s="1845" t="s">
        <v>764</v>
      </c>
      <c r="M5" s="1845" t="s">
        <v>719</v>
      </c>
      <c r="N5" s="1845" t="s">
        <v>882</v>
      </c>
      <c r="O5" s="1875" t="s">
        <v>793</v>
      </c>
      <c r="P5" s="1845" t="s">
        <v>902</v>
      </c>
      <c r="Q5" s="1845" t="s">
        <v>896</v>
      </c>
      <c r="R5" s="1845" t="s">
        <v>232</v>
      </c>
      <c r="S5" s="1878" t="s">
        <v>892</v>
      </c>
      <c r="T5" s="1878" t="s">
        <v>895</v>
      </c>
      <c r="U5" s="1845" t="s">
        <v>796</v>
      </c>
      <c r="V5" s="1878" t="s">
        <v>765</v>
      </c>
      <c r="W5" s="1845" t="s">
        <v>1055</v>
      </c>
      <c r="X5" s="1845" t="s">
        <v>1056</v>
      </c>
      <c r="Y5" s="1857" t="s">
        <v>883</v>
      </c>
      <c r="Z5" s="1848" t="s">
        <v>821</v>
      </c>
      <c r="AA5" s="1851" t="s">
        <v>766</v>
      </c>
      <c r="AB5" s="1848" t="s">
        <v>767</v>
      </c>
      <c r="AC5" s="1848" t="s">
        <v>768</v>
      </c>
      <c r="AD5" s="1854" t="s">
        <v>884</v>
      </c>
      <c r="AE5" s="1854" t="s">
        <v>1083</v>
      </c>
      <c r="AF5" s="1845" t="s">
        <v>897</v>
      </c>
      <c r="AG5" s="1845" t="s">
        <v>720</v>
      </c>
      <c r="AH5" s="1845" t="s">
        <v>885</v>
      </c>
      <c r="AI5" s="1845" t="s">
        <v>243</v>
      </c>
      <c r="AJ5" s="1845" t="s">
        <v>952</v>
      </c>
      <c r="AK5" s="1845" t="s">
        <v>721</v>
      </c>
      <c r="AL5" s="1845" t="s">
        <v>722</v>
      </c>
      <c r="AM5" s="1845" t="s">
        <v>903</v>
      </c>
      <c r="AN5" s="1845" t="s">
        <v>723</v>
      </c>
      <c r="AO5" s="1845" t="s">
        <v>724</v>
      </c>
      <c r="AP5" s="1845" t="s">
        <v>725</v>
      </c>
      <c r="AQ5" s="1845" t="s">
        <v>726</v>
      </c>
      <c r="AR5" s="1845" t="s">
        <v>886</v>
      </c>
      <c r="AS5" s="1845" t="s">
        <v>246</v>
      </c>
      <c r="AT5" s="1860" t="s">
        <v>244</v>
      </c>
      <c r="AU5" s="1845" t="s">
        <v>898</v>
      </c>
      <c r="AV5" s="1863" t="s">
        <v>899</v>
      </c>
      <c r="AW5" s="1866" t="s">
        <v>728</v>
      </c>
      <c r="AX5" s="1845" t="s">
        <v>729</v>
      </c>
      <c r="AY5" s="1845" t="s">
        <v>819</v>
      </c>
      <c r="AZ5" s="1869" t="s">
        <v>820</v>
      </c>
      <c r="BA5" s="1845" t="s">
        <v>770</v>
      </c>
      <c r="BB5" s="1863" t="s">
        <v>771</v>
      </c>
      <c r="BC5" s="1866" t="s">
        <v>247</v>
      </c>
      <c r="BD5" s="1845" t="s">
        <v>772</v>
      </c>
      <c r="BE5" s="1845" t="s">
        <v>325</v>
      </c>
      <c r="BF5" s="1845" t="s">
        <v>326</v>
      </c>
      <c r="BG5" s="1845" t="s">
        <v>327</v>
      </c>
      <c r="BH5" s="1845" t="s">
        <v>773</v>
      </c>
      <c r="BI5" s="1845" t="s">
        <v>328</v>
      </c>
      <c r="BJ5" s="1845" t="s">
        <v>774</v>
      </c>
      <c r="BK5" s="1845" t="s">
        <v>789</v>
      </c>
      <c r="BL5" s="1845" t="s">
        <v>775</v>
      </c>
      <c r="BM5" s="1845" t="s">
        <v>776</v>
      </c>
      <c r="BN5" s="1845" t="s">
        <v>804</v>
      </c>
      <c r="BO5" s="1845" t="s">
        <v>797</v>
      </c>
      <c r="BP5" s="1845" t="s">
        <v>440</v>
      </c>
      <c r="BQ5" s="1845" t="s">
        <v>798</v>
      </c>
      <c r="BR5" s="1845" t="s">
        <v>777</v>
      </c>
      <c r="BS5" s="1845" t="s">
        <v>727</v>
      </c>
      <c r="BT5" s="1872" t="s">
        <v>1057</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9</v>
      </c>
      <c r="G10" s="547">
        <f>IF(ISNUMBER(Datos!I10),Datos!I10," - ")</f>
        <v>9</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0</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v>
      </c>
      <c r="AC10" s="551">
        <f>IF(ISNUMBER(Datos!Q10),Datos!Q10," - ")</f>
        <v>0</v>
      </c>
      <c r="AD10" s="553"/>
      <c r="AE10" s="567"/>
      <c r="AF10" s="555">
        <f>IF(ISNUMBER(Datos!L10),Datos!L10,"-")</f>
        <v>11</v>
      </c>
      <c r="AG10" s="553"/>
      <c r="AH10" s="553"/>
      <c r="AI10" s="553"/>
      <c r="AJ10" s="553"/>
      <c r="AK10" s="553"/>
      <c r="AL10" s="554"/>
      <c r="AM10" s="771">
        <f>IF(ISNUMBER(Datos!R10),Datos!R10," - ")</f>
        <v>2</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v>
      </c>
      <c r="BD10" s="697">
        <f>IF(ISNUMBER(Datos!N10),Datos!N10," - ")</f>
        <v>0</v>
      </c>
      <c r="BE10" s="697" t="str">
        <f>IF(ISNUMBER(Datos!BW10),Datos!BW10," - ")</f>
        <v xml:space="preserve"> - </v>
      </c>
      <c r="BF10" s="767" t="str">
        <f>IF(ISNUMBER(Datos!BX10),Datos!BX10," - ")</f>
        <v xml:space="preserve"> - </v>
      </c>
      <c r="BG10" s="768">
        <f>IF(ISNUMBER(Datos!K10/Datos!J10),Datos!K10/Datos!J10," - ")</f>
        <v>0.33333333333333331</v>
      </c>
      <c r="BH10" s="769">
        <f>IF(ISNUMBER(((Datos!L10/Datos!K10)*11)/factor_trimestre),((Datos!L10/Datos!K10)*11)/factor_trimestre," - ")</f>
        <v>33</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3</v>
      </c>
      <c r="B12" s="750" t="s">
        <v>324</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54</v>
      </c>
      <c r="O12" s="553"/>
      <c r="P12" s="553"/>
      <c r="Q12" s="551">
        <f>IF(ISNUMBER(Datos!P12),Datos!P12,0)</f>
        <v>149</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83</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92</v>
      </c>
      <c r="AI12" s="553" t="str">
        <f>IF(ISNUMBER(Datos!CD12),Datos!CD12,"-")</f>
        <v>-</v>
      </c>
      <c r="AJ12" s="553" t="str">
        <f>IF(ISNUMBER(Datos!EN12),Datos!EN12," - ")</f>
        <v xml:space="preserve"> - </v>
      </c>
      <c r="AK12" s="553"/>
      <c r="AL12" s="554"/>
      <c r="AM12" s="771">
        <f>IF(ISNUMBER(Datos!R12),Datos!R12," - ")</f>
        <v>3086</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191</v>
      </c>
      <c r="BD12" s="697">
        <f>IF(ISNUMBER(Datos!N12),Datos!N12," - ")</f>
        <v>465</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0.84895833333333337</v>
      </c>
      <c r="BH12" s="769">
        <f>IF(ISNUMBER(((IF(J_V="SI",Datos!L12/Datos!K12,(Datos!L12+Datos!AB12)/(Datos!K12+Datos!AA12)))*11)/factor_trimestre),((IF(J_V="SI",Datos!L12/Datos!K12,(Datos!L12+Datos!AB12)/(Datos!K12+Datos!AA12)))*11)/factor_trimestre," - ")</f>
        <v>5.5104294478527613</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2.1854304635761591E-2</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3</v>
      </c>
      <c r="F14" s="1200">
        <f t="shared" si="1"/>
        <v>9</v>
      </c>
      <c r="G14" s="1200">
        <f t="shared" si="1"/>
        <v>9</v>
      </c>
      <c r="H14" s="1201">
        <f t="shared" si="1"/>
        <v>0</v>
      </c>
      <c r="I14" s="1200">
        <f t="shared" si="1"/>
        <v>0</v>
      </c>
      <c r="J14" s="1167">
        <f t="shared" si="1"/>
        <v>0</v>
      </c>
      <c r="K14" s="1167">
        <f t="shared" si="1"/>
        <v>0</v>
      </c>
      <c r="L14" s="1201">
        <f t="shared" si="1"/>
        <v>0</v>
      </c>
      <c r="M14" s="1201">
        <f t="shared" si="1"/>
        <v>0</v>
      </c>
      <c r="N14" s="1201">
        <f t="shared" si="1"/>
        <v>54</v>
      </c>
      <c r="O14" s="1202">
        <f t="shared" si="1"/>
        <v>0</v>
      </c>
      <c r="P14" s="1202">
        <f t="shared" si="1"/>
        <v>0</v>
      </c>
      <c r="Q14" s="1201">
        <f t="shared" si="1"/>
        <v>149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v>
      </c>
      <c r="AC14" s="1201">
        <f t="shared" si="2"/>
        <v>83</v>
      </c>
      <c r="AD14" s="1201">
        <f t="shared" si="2"/>
        <v>0</v>
      </c>
      <c r="AE14" s="1201">
        <f t="shared" si="2"/>
        <v>0</v>
      </c>
      <c r="AF14" s="1201">
        <f t="shared" si="2"/>
        <v>11</v>
      </c>
      <c r="AG14" s="1201">
        <f t="shared" si="2"/>
        <v>0</v>
      </c>
      <c r="AH14" s="1201">
        <f t="shared" si="2"/>
        <v>92</v>
      </c>
      <c r="AI14" s="1201">
        <f t="shared" si="2"/>
        <v>0</v>
      </c>
      <c r="AJ14" s="1201">
        <f t="shared" si="2"/>
        <v>0</v>
      </c>
      <c r="AK14" s="1201">
        <f t="shared" si="2"/>
        <v>0</v>
      </c>
      <c r="AL14" s="1201">
        <f t="shared" si="2"/>
        <v>0</v>
      </c>
      <c r="AM14" s="1201">
        <f t="shared" si="2"/>
        <v>3088</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192</v>
      </c>
      <c r="BD14" s="1201">
        <f t="shared" si="2"/>
        <v>465</v>
      </c>
      <c r="BE14" s="1201">
        <f t="shared" si="2"/>
        <v>0</v>
      </c>
      <c r="BF14" s="1201">
        <f t="shared" si="2"/>
        <v>0</v>
      </c>
      <c r="BG14" s="1201">
        <f>IF(ISNUMBER(Datos!K14/Datos!J14),Datos!K14/Datos!J14," - ")</f>
        <v>0.84928492849284931</v>
      </c>
      <c r="BH14" s="1205">
        <f>IF(ISNUMBER(((Datos!L14/Datos!K14)*11)/factor_trimestre),((Datos!L14/Datos!K14)*11)/factor_trimestre," - ")</f>
        <v>5.5025906735751295</v>
      </c>
      <c r="BI14" s="1201">
        <f>IF(ISNUMBER('Resol  Asuntos'!D14/NºAsuntos!G14),'Resol  Asuntos'!D14/NºAsuntos!G14," - ")</f>
        <v>0.23529411764705882</v>
      </c>
      <c r="BJ14" s="1201" t="str">
        <f>IF(ISNUMBER(Datos!CI14/Datos!CJ14),Datos!CI14/Datos!CJ14," - ")</f>
        <v xml:space="preserve"> - </v>
      </c>
      <c r="BK14" s="1201">
        <f>SUBTOTAL(9,BK8:BK13)</f>
        <v>0</v>
      </c>
      <c r="BL14" s="1201">
        <f>IF(ISNUMBER((I14-AB14+L14)/(F14)),(I14-AB14+L14)/(F14)," - ")</f>
        <v>-0.1111111111111111</v>
      </c>
      <c r="BM14" s="1206">
        <f>SUBTOTAL(9,BM9:BM13)</f>
        <v>2.1854304635761591E-2</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3</v>
      </c>
      <c r="B17" s="741" t="s">
        <v>515</v>
      </c>
      <c r="C17" s="754" t="str">
        <f>Datos!A17</f>
        <v xml:space="preserve">Jdos. 1ª Instª. e Instr.                        </v>
      </c>
      <c r="D17" s="755"/>
      <c r="E17" s="746">
        <f>IF(ISNUMBER(Datos!AQ17),Datos!AQ17," - ")</f>
        <v>3</v>
      </c>
      <c r="F17" s="744">
        <f>IF(ISNUMBER(AF17+AB17-Datos!J17-L17),AF17+AB17-Datos!J17-L17," - ")</f>
        <v>574</v>
      </c>
      <c r="G17" s="747">
        <f>IF(ISNUMBER(IF(D_I="SI",Datos!I17,Datos!I17+Datos!AC17)),IF(D_I="SI",Datos!I17,Datos!I17+Datos!AC17)," - ")</f>
        <v>574</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31</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685</v>
      </c>
      <c r="AC17" s="240">
        <f>IF(ISNUMBER(Datos!Q17),Datos!Q17," - ")</f>
        <v>26</v>
      </c>
      <c r="AD17" s="374"/>
      <c r="AE17" s="566"/>
      <c r="AF17" s="745">
        <f>IF(ISNUMBER(IF(D_I="SI",Datos!L17,Datos!L17+Datos!AF17)),IF(D_I="SI",Datos!L17,Datos!L17+Datos!AF17)," - ")</f>
        <v>542</v>
      </c>
      <c r="AG17" s="374"/>
      <c r="AH17" s="374"/>
      <c r="AI17" s="374"/>
      <c r="AJ17" s="553"/>
      <c r="AK17" s="374"/>
      <c r="AL17" s="549"/>
      <c r="AM17" s="375">
        <f>IF(ISNUMBER(Datos!R17),Datos!R17," - ")</f>
        <v>134</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447</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1.0490045941807045</v>
      </c>
      <c r="BH17" s="769">
        <f>IF(ISNUMBER(((IF(D_I="SI",Datos!L17/Datos!K17,(Datos!L17+Datos!AF17)/(Datos!K17+Datos!AE17)))*11)/factor_trimestre),((IF(D_I="SI",Datos!L17/Datos!K17,(Datos!L17+Datos!AF17)/(Datos!K17+Datos!AE17)))*11)/factor_trimestre," - ")</f>
        <v>2.3737226277372265</v>
      </c>
      <c r="BI17" s="266">
        <f>IF(ISNUMBER('Resol  Asuntos'!D17/NºAsuntos!G17),'Resol  Asuntos'!D17/NºAsuntos!G17," - ")</f>
        <v>0.14744525547445256</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36</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7</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55</v>
      </c>
      <c r="AC18" s="551">
        <f>IF(ISNUMBER(Datos!Q18),Datos!Q18," - ")</f>
        <v>3</v>
      </c>
      <c r="AD18" s="553"/>
      <c r="AE18" s="566"/>
      <c r="AF18" s="555">
        <f>IF(ISNUMBER(Datos!L18),Datos!L18,"-")</f>
        <v>41</v>
      </c>
      <c r="AG18" s="553"/>
      <c r="AH18" s="553"/>
      <c r="AI18" s="553"/>
      <c r="AJ18" s="553"/>
      <c r="AK18" s="553"/>
      <c r="AL18" s="554"/>
      <c r="AM18" s="771">
        <f>IF(ISNUMBER(Datos!R18),Datos!R18," - ")</f>
        <v>16</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18</v>
      </c>
      <c r="BD18" s="697">
        <f>IF(ISNUMBER(Datos!N18),Datos!N18," - ")</f>
        <v>41</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0.91666666666666663</v>
      </c>
      <c r="BH18" s="769">
        <f>IF(ISNUMBER(((IF(D_I="SI",Datos!L18/Datos!K18,(Datos!L18+Datos!AF18)/(Datos!K18+Datos!AE18)))*11)/factor_trimestre),((IF(D_I="SI",Datos!L18/Datos!K18,(Datos!L18+Datos!AF18)/(Datos!K18+Datos!AE18)))*11)/factor_trimestre," - ")</f>
        <v>2.2363636363636368</v>
      </c>
      <c r="BI18" s="768">
        <f>IF(ISNUMBER('Resol  Asuntos'!D18/NºAsuntos!G18),'Resol  Asuntos'!D18/NºAsuntos!G18," - ")</f>
        <v>0.32727272727272727</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3</v>
      </c>
      <c r="F23" s="1200">
        <f>SUBTOTAL(9,F16:F22)</f>
        <v>574</v>
      </c>
      <c r="G23" s="1200">
        <f>SUBTOTAL(9,G16:G22)</f>
        <v>610</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38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740</v>
      </c>
      <c r="AC23" s="1201">
        <f t="shared" si="5"/>
        <v>29</v>
      </c>
      <c r="AD23" s="1201">
        <f t="shared" si="5"/>
        <v>0</v>
      </c>
      <c r="AE23" s="1201">
        <f t="shared" si="5"/>
        <v>0</v>
      </c>
      <c r="AF23" s="1201">
        <f t="shared" si="5"/>
        <v>583</v>
      </c>
      <c r="AG23" s="1201">
        <f t="shared" si="5"/>
        <v>0</v>
      </c>
      <c r="AH23" s="1201">
        <f t="shared" si="5"/>
        <v>0</v>
      </c>
      <c r="AI23" s="1201">
        <f t="shared" si="5"/>
        <v>0</v>
      </c>
      <c r="AJ23" s="1201">
        <f t="shared" si="5"/>
        <v>0</v>
      </c>
      <c r="AK23" s="1201">
        <f t="shared" si="5"/>
        <v>0</v>
      </c>
      <c r="AL23" s="1201">
        <f t="shared" si="5"/>
        <v>0</v>
      </c>
      <c r="AM23" s="1201">
        <f t="shared" si="5"/>
        <v>150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119</v>
      </c>
      <c r="BD23" s="1201">
        <f t="shared" si="5"/>
        <v>488</v>
      </c>
      <c r="BE23" s="1201">
        <f t="shared" si="5"/>
        <v>0</v>
      </c>
      <c r="BF23" s="1201">
        <f t="shared" si="5"/>
        <v>0</v>
      </c>
      <c r="BG23" s="1201">
        <f>IF(ISNUMBER(Datos!K23/Datos!J23),Datos!K23/Datos!J23," - ")</f>
        <v>1.0378681626928472</v>
      </c>
      <c r="BH23" s="1205">
        <f>IF(ISNUMBER(((Datos!L23/Datos!K23)*11)/factor_trimestre),((Datos!L23/Datos!K23)*11)/factor_trimestre," - ")</f>
        <v>2.3635135135135132</v>
      </c>
      <c r="BI23" s="1201">
        <f>SUBTOTAL(9,BI16:BI22)</f>
        <v>0.4747179827471798</v>
      </c>
      <c r="BJ23" s="1201">
        <f>SUBTOTAL(9,BJ16:BJ22)</f>
        <v>0</v>
      </c>
      <c r="BK23" s="1201">
        <f>SUBTOTAL(9,BK16:BK22)</f>
        <v>0</v>
      </c>
      <c r="BL23" s="1201">
        <f>IF(ISNUMBER((I23-AB23+L23)/(F23)),(I23-AB23+L23)/(F23)," - ")</f>
        <v>-1.2891986062717771</v>
      </c>
      <c r="BM23" s="1208">
        <f>IF(ISNUMBER((Datos!P23-Datos!Q23)/(Datos!R23-Datos!P23+Datos!Q23)),(Datos!P23-Datos!Q23)/(Datos!R23-Datos!P23+Datos!Q23)," - ")</f>
        <v>6.3829787234042548E-2</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6</v>
      </c>
      <c r="F31" s="1120">
        <f t="shared" si="16"/>
        <v>583</v>
      </c>
      <c r="G31" s="1120">
        <f t="shared" si="16"/>
        <v>619</v>
      </c>
      <c r="H31" s="1122">
        <f t="shared" si="16"/>
        <v>0</v>
      </c>
      <c r="I31" s="1120">
        <f t="shared" si="16"/>
        <v>0</v>
      </c>
      <c r="J31" s="1122">
        <f t="shared" si="16"/>
        <v>0</v>
      </c>
      <c r="K31" s="1122">
        <f t="shared" si="16"/>
        <v>0</v>
      </c>
      <c r="L31" s="1183">
        <f t="shared" si="16"/>
        <v>0</v>
      </c>
      <c r="M31" s="1183">
        <f t="shared" si="16"/>
        <v>0</v>
      </c>
      <c r="N31" s="1183">
        <f t="shared" si="16"/>
        <v>54</v>
      </c>
      <c r="O31" s="1183">
        <f t="shared" si="16"/>
        <v>0</v>
      </c>
      <c r="P31" s="1183">
        <f t="shared" si="16"/>
        <v>0</v>
      </c>
      <c r="Q31" s="1122">
        <f t="shared" si="16"/>
        <v>187</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741</v>
      </c>
      <c r="AC31" s="1121">
        <f t="shared" si="17"/>
        <v>112</v>
      </c>
      <c r="AD31" s="1121">
        <f t="shared" si="17"/>
        <v>0</v>
      </c>
      <c r="AE31" s="1121">
        <f t="shared" si="17"/>
        <v>0</v>
      </c>
      <c r="AF31" s="1128">
        <f t="shared" si="17"/>
        <v>594</v>
      </c>
      <c r="AG31" s="1128">
        <f t="shared" si="17"/>
        <v>0</v>
      </c>
      <c r="AH31" s="1128">
        <f t="shared" si="17"/>
        <v>92</v>
      </c>
      <c r="AI31" s="1128">
        <f t="shared" si="17"/>
        <v>0</v>
      </c>
      <c r="AJ31" s="1121">
        <f t="shared" si="17"/>
        <v>0</v>
      </c>
      <c r="AK31" s="1128">
        <f t="shared" si="17"/>
        <v>0</v>
      </c>
      <c r="AL31" s="1128">
        <f t="shared" si="17"/>
        <v>0</v>
      </c>
      <c r="AM31" s="1128">
        <f t="shared" si="17"/>
        <v>3238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311</v>
      </c>
      <c r="BD31" s="1120">
        <f t="shared" si="17"/>
        <v>953</v>
      </c>
      <c r="BE31" s="1120">
        <f t="shared" si="17"/>
        <v>0</v>
      </c>
      <c r="BF31" s="1130">
        <f t="shared" si="17"/>
        <v>0</v>
      </c>
      <c r="BG31" s="1227">
        <f>IF(ISNUMBER(Datos!K31/Datos!J31),Datos!K31/Datos!J31," - ")</f>
        <v>0.93218249075215787</v>
      </c>
      <c r="BH31" s="1227">
        <f>IF(ISNUMBER(((Datos!L31/Datos!K31)*11)/factor_trimestre),((Datos!L31/Datos!K31)*11)/factor_trimestre," - ")</f>
        <v>3.9662698412698414</v>
      </c>
      <c r="BI31" s="1106">
        <f>IF(ISNUMBER(Datos!J31/Datos!I31),Datos!J31/Datos!I31," - ")</f>
        <v>0.8586553732133404</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-1.2710120068610635</v>
      </c>
      <c r="BM31" s="1191">
        <f>IF(ISNUMBER((Datos!P31-Datos!Q31+R31)/(Datos!R31-Datos!P31+Datos!Q31-R31)),(Datos!P31-Datos!Q31+R31)/(Datos!R31-Datos!P31+Datos!Q31-R31)," - ")</f>
        <v>2.3711666139740753E-2</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176.85714285714286</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1.2565617248750864</v>
      </c>
      <c r="F33" s="677">
        <f>IF(ISNUMBER(STDEV(F8:F30)),STDEV(F8:F30),"-")</f>
        <v>294.1160768585537</v>
      </c>
      <c r="G33" s="678">
        <f>IF(ISNUMBER(STDEV(G8:G30)),STDEV(G8:G30),"-")</f>
        <v>284.04367538075815</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343.04796277183277</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84.237334783506597</v>
      </c>
      <c r="BD33" s="677"/>
      <c r="BE33" s="677">
        <f>IF(ISNUMBER(STDEV(BE8:BE30)),STDEV(BE8:BE30),"-")</f>
        <v>0</v>
      </c>
      <c r="BF33" s="682">
        <f>IF(ISNUMBER(STDEV(BF8:BF30)),STDEV(BF8:BF30),"-")</f>
        <v>0</v>
      </c>
      <c r="BG33" s="1055">
        <f>IF(ISNUMBER(STDEV(BG8:BG30)),STDEV(BG8:BG30),"-")</f>
        <v>0.26290154247270808</v>
      </c>
      <c r="BH33" s="1061">
        <f>IF(ISNUMBER(STDEV(BH8:BH30)),STDEV(BH8:BH30),"-")</f>
        <v>12.104485501293746</v>
      </c>
      <c r="BI33" s="273">
        <f>IF(ISNUMBER(STDEV(BI8:BI30)),STDEV(BI8:BI30),"-")</f>
        <v>0.13984715924447316</v>
      </c>
      <c r="BJ33" s="244" t="str">
        <f>IF(ISNUMBER(BL33/BM33),BL33/BM33," - ")</f>
        <v xml:space="preserve"> - </v>
      </c>
      <c r="BK33" s="713"/>
      <c r="BL33" s="685">
        <f>IF(ISNUMBER(STDEV(BL8:BL30)),STDEV(BL8:BL30),"-")</f>
        <v>0.83303365665918094</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t04BB6xJTGg4nFMZCb3Y/F97Cy++oapDM5QxNCkUKUr5hdw5wCk56nodcS5dC2Q7kyOoGyqWkq6S3Dry4H9mFQ==" saltValue="JXP+Kbhv7smomVuaZkkoX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ARUCAS</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469</v>
      </c>
      <c r="B5" s="297"/>
      <c r="C5" s="1886" t="str">
        <f>"Año:  " &amp;Criterios!B$5 &amp; "          Trimestre   " &amp;Criterios!D$5 &amp; " al " &amp;Criterios!D$6</f>
        <v>Año:  2021          Trimestre   4 al 4</v>
      </c>
      <c r="D5" s="1888" t="s">
        <v>495</v>
      </c>
      <c r="E5" s="1845" t="s">
        <v>762</v>
      </c>
      <c r="F5" s="1883" t="s">
        <v>531</v>
      </c>
      <c r="G5" s="1845" t="s">
        <v>176</v>
      </c>
      <c r="H5" s="1845" t="s">
        <v>795</v>
      </c>
      <c r="I5" s="1845" t="s">
        <v>763</v>
      </c>
      <c r="J5" s="1845" t="s">
        <v>900</v>
      </c>
      <c r="K5" s="1845" t="s">
        <v>764</v>
      </c>
      <c r="L5" s="1845" t="s">
        <v>793</v>
      </c>
      <c r="M5" s="1845" t="s">
        <v>902</v>
      </c>
      <c r="N5" s="1845" t="s">
        <v>790</v>
      </c>
      <c r="O5" s="1845" t="s">
        <v>824</v>
      </c>
      <c r="P5" s="1878" t="s">
        <v>892</v>
      </c>
      <c r="Q5" s="1878" t="s">
        <v>895</v>
      </c>
      <c r="R5" s="1845" t="s">
        <v>799</v>
      </c>
      <c r="S5" s="1845" t="s">
        <v>765</v>
      </c>
      <c r="T5" s="1845" t="s">
        <v>1055</v>
      </c>
      <c r="U5" s="1845" t="s">
        <v>1056</v>
      </c>
      <c r="V5" s="1857" t="s">
        <v>883</v>
      </c>
      <c r="W5" s="1848" t="s">
        <v>779</v>
      </c>
      <c r="X5" s="1851" t="s">
        <v>780</v>
      </c>
      <c r="Y5" s="1854" t="s">
        <v>800</v>
      </c>
      <c r="Z5" s="1854" t="s">
        <v>825</v>
      </c>
      <c r="AA5" s="1845" t="s">
        <v>769</v>
      </c>
      <c r="AB5" s="1845" t="s">
        <v>781</v>
      </c>
      <c r="AC5" s="1845" t="s">
        <v>782</v>
      </c>
      <c r="AD5" s="1845" t="s">
        <v>722</v>
      </c>
      <c r="AE5" s="1845" t="s">
        <v>903</v>
      </c>
      <c r="AF5" s="1845" t="s">
        <v>246</v>
      </c>
      <c r="AG5" s="1845" t="s">
        <v>783</v>
      </c>
      <c r="AH5" s="1845" t="s">
        <v>770</v>
      </c>
      <c r="AI5" s="1845" t="s">
        <v>771</v>
      </c>
      <c r="AJ5" s="1845" t="s">
        <v>784</v>
      </c>
      <c r="AK5" s="1845" t="s">
        <v>785</v>
      </c>
      <c r="AL5" s="1845" t="s">
        <v>786</v>
      </c>
      <c r="AM5" s="1869" t="s">
        <v>787</v>
      </c>
      <c r="AN5" s="1845" t="s">
        <v>327</v>
      </c>
      <c r="AO5" s="1845" t="s">
        <v>773</v>
      </c>
      <c r="AP5" s="1845" t="s">
        <v>774</v>
      </c>
      <c r="AQ5" s="1845" t="s">
        <v>801</v>
      </c>
      <c r="AR5" s="1845" t="s">
        <v>802</v>
      </c>
      <c r="AS5" s="1845" t="s">
        <v>804</v>
      </c>
      <c r="AT5" s="1845" t="s">
        <v>797</v>
      </c>
      <c r="AU5" s="1845" t="s">
        <v>440</v>
      </c>
      <c r="AV5" s="1845" t="s">
        <v>788</v>
      </c>
      <c r="AW5" s="1845" t="s">
        <v>727</v>
      </c>
      <c r="BT5" s="1845" t="s">
        <v>1057</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9</v>
      </c>
      <c r="G10" s="556">
        <f>IF(ISNUMBER(Datos!I10),Datos!I10," - ")</f>
        <v>9</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0</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v>
      </c>
      <c r="Z10" s="810">
        <f>IF(ISNUMBER(Datos!Q10),Datos!Q10," - ")</f>
        <v>0</v>
      </c>
      <c r="AA10" s="555">
        <f>IF(ISNUMBER(Datos!L10),Datos!L10,"-")</f>
        <v>11</v>
      </c>
      <c r="AB10" s="553"/>
      <c r="AC10" s="553"/>
      <c r="AD10" s="567"/>
      <c r="AE10" s="567">
        <f>IF(ISNUMBER(Datos!R10),Datos!R10," - ")</f>
        <v>2</v>
      </c>
      <c r="AF10" s="697" t="str">
        <f>IF(ISNUMBER(Datos!BV10),Datos!BV10," - ")</f>
        <v xml:space="preserve"> - </v>
      </c>
      <c r="AG10" s="556" t="str">
        <f>IF(ISNUMBER(Datos!DV10),Datos!DV10," - ")</f>
        <v xml:space="preserve"> - </v>
      </c>
      <c r="AH10" s="557"/>
      <c r="AI10" s="558"/>
      <c r="AJ10" s="556">
        <f>IF(ISNUMBER(Datos!M10),Datos!M10," - ")</f>
        <v>1</v>
      </c>
      <c r="AK10" s="697">
        <f>IF(ISNUMBER(Datos!N10),Datos!N10," - ")</f>
        <v>0</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33</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3</v>
      </c>
      <c r="B12" s="750" t="s">
        <v>324</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149</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83</v>
      </c>
      <c r="AA12" s="555" t="str">
        <f>IF(ISNUMBER(IF(J_V="SI",Datos!L12,Datos!L12+Datos!AB12)-IF(Monitorios="SI",Datos!CD12,0)),
                          IF(J_V="SI",Datos!L12,Datos!L12+Datos!AB12)-IF(Monitorios="SI",Datos!CD12,0),
                          " - ")</f>
        <v xml:space="preserve"> - </v>
      </c>
      <c r="AB12" s="553"/>
      <c r="AC12" s="553"/>
      <c r="AD12" s="567"/>
      <c r="AE12" s="567">
        <f>IF(ISNUMBER(Datos!R12),Datos!R12," - ")</f>
        <v>3086</v>
      </c>
      <c r="AF12" s="697" t="str">
        <f>IF(ISNUMBER(Datos!BV12),Datos!BV12," - ")</f>
        <v xml:space="preserve"> - </v>
      </c>
      <c r="AG12" s="556" t="str">
        <f>IF(ISNUMBER(Datos!DV12),Datos!DV12," - ")</f>
        <v xml:space="preserve"> - </v>
      </c>
      <c r="AH12" s="557"/>
      <c r="AI12" s="558"/>
      <c r="AJ12" s="556">
        <f>IF(ISNUMBER(Datos!M12),Datos!M12," - ")</f>
        <v>191</v>
      </c>
      <c r="AK12" s="697">
        <f>IF(ISNUMBER(Datos!N12),Datos!N12," - ")</f>
        <v>465</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5.5104294478527613</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2.1854304635761591E-2</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3</v>
      </c>
      <c r="F14" s="1200">
        <f>SUBTOTAL(9,F8:F13)</f>
        <v>9</v>
      </c>
      <c r="G14" s="1200">
        <f>SUBTOTAL(9,G8:G13)</f>
        <v>9</v>
      </c>
      <c r="H14" s="1214"/>
      <c r="I14" s="1200">
        <f t="shared" ref="I14:N14" si="1">SUBTOTAL(9,I8:I13)</f>
        <v>0</v>
      </c>
      <c r="J14" s="1167">
        <f t="shared" si="1"/>
        <v>0</v>
      </c>
      <c r="K14" s="1214">
        <f t="shared" si="1"/>
        <v>0</v>
      </c>
      <c r="L14" s="1214">
        <f t="shared" si="1"/>
        <v>0</v>
      </c>
      <c r="M14" s="1214">
        <f t="shared" si="1"/>
        <v>0</v>
      </c>
      <c r="N14" s="1214">
        <f t="shared" si="1"/>
        <v>149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v>
      </c>
      <c r="Z14" s="1213">
        <f t="shared" si="3"/>
        <v>83</v>
      </c>
      <c r="AA14" s="1202">
        <f t="shared" si="3"/>
        <v>11</v>
      </c>
      <c r="AB14" s="1202">
        <f t="shared" si="3"/>
        <v>0</v>
      </c>
      <c r="AC14" s="1202">
        <f t="shared" si="3"/>
        <v>0</v>
      </c>
      <c r="AD14" s="1202">
        <f t="shared" si="3"/>
        <v>0</v>
      </c>
      <c r="AE14" s="1202">
        <f t="shared" si="3"/>
        <v>3088</v>
      </c>
      <c r="AF14" s="1214">
        <f t="shared" si="3"/>
        <v>0</v>
      </c>
      <c r="AG14" s="1214">
        <f t="shared" si="3"/>
        <v>0</v>
      </c>
      <c r="AH14" s="1214">
        <f t="shared" si="3"/>
        <v>0</v>
      </c>
      <c r="AI14" s="1214">
        <f t="shared" si="3"/>
        <v>0</v>
      </c>
      <c r="AJ14" s="1214">
        <f t="shared" si="3"/>
        <v>192</v>
      </c>
      <c r="AK14" s="1214">
        <f t="shared" si="3"/>
        <v>465</v>
      </c>
      <c r="AL14" s="1214">
        <f t="shared" si="3"/>
        <v>0</v>
      </c>
      <c r="AM14" s="1214">
        <f t="shared" si="3"/>
        <v>0</v>
      </c>
      <c r="AN14" s="1214">
        <f t="shared" si="3"/>
        <v>0</v>
      </c>
      <c r="AO14" s="1206">
        <f>IF(ISNUMBER(((NºAsuntos!I14/NºAsuntos!G14)*11)/factor_trimestre),((NºAsuntos!I14/NºAsuntos!G14)*11)/factor_trimestre," - ")</f>
        <v>5.5441176470588234</v>
      </c>
      <c r="AP14" s="1216" t="str">
        <f>IF(ISNUMBER(Datos!CI14/Datos!CJ14),Datos!CI14/Datos!CJ14," - ")</f>
        <v xml:space="preserve"> - </v>
      </c>
      <c r="AQ14" s="1240">
        <f>SUBTOTAL(9,AQ9:AQ13)</f>
        <v>0</v>
      </c>
      <c r="AR14" s="1240">
        <f>SUBTOTAL(9,AR9:AR13)</f>
        <v>2.1854304635761591E-2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3</v>
      </c>
      <c r="B17" s="750" t="s">
        <v>515</v>
      </c>
      <c r="C17" s="770" t="str">
        <f>Datos!A17</f>
        <v xml:space="preserve">Jdos. 1ª Instª. e Instr.                        </v>
      </c>
      <c r="D17" s="597"/>
      <c r="E17" s="752">
        <f>IF(ISNUMBER(Datos!AQ17),Datos!AQ17," - ")</f>
        <v>3</v>
      </c>
      <c r="F17" s="547">
        <f>IF(ISNUMBER(AA17+Y17-Datos!J17-K16),AA17+Y17-Datos!J17-K16," - ")</f>
        <v>574</v>
      </c>
      <c r="G17" s="556">
        <f>IF(ISNUMBER(IF(D_I="SI",Datos!I17,Datos!I17+Datos!AC17)),IF(D_I="SI",Datos!I17,Datos!I17+Datos!AC17)," - ")</f>
        <v>574</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31</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685</v>
      </c>
      <c r="Z17" s="810">
        <f>IF(ISNUMBER(Datos!Q17),Datos!Q17," - ")</f>
        <v>26</v>
      </c>
      <c r="AA17" s="555">
        <f>IF(ISNUMBER(IF(D_I="SI",Datos!L17,Datos!L17+Datos!AF17)),IF(D_I="SI",Datos!L17,Datos!L17+Datos!AF17)," - ")</f>
        <v>542</v>
      </c>
      <c r="AB17" s="553"/>
      <c r="AC17" s="553"/>
      <c r="AD17" s="567"/>
      <c r="AE17" s="567">
        <f>IF(ISNUMBER(Datos!R17),Datos!R17," - ")</f>
        <v>134</v>
      </c>
      <c r="AF17" s="697" t="str">
        <f>IF(ISNUMBER(Datos!BV17),Datos!BV17," - ")</f>
        <v xml:space="preserve"> - </v>
      </c>
      <c r="AG17" s="556"/>
      <c r="AH17" s="557"/>
      <c r="AI17" s="558"/>
      <c r="AJ17" s="556">
        <f>IF(ISNUMBER(Datos!M17),Datos!M17," - ")</f>
        <v>101</v>
      </c>
      <c r="AK17" s="697">
        <f>IF(ISNUMBER(Datos!N17),Datos!N17," - ")</f>
        <v>447</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2.3737226277372265</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36</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7</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55</v>
      </c>
      <c r="Z18" s="810">
        <f>IF(ISNUMBER(Datos!Q18),Datos!Q18," - ")</f>
        <v>3</v>
      </c>
      <c r="AA18" s="555">
        <f>IF(ISNUMBER(Datos!L18),Datos!L18,"-")</f>
        <v>41</v>
      </c>
      <c r="AB18" s="553"/>
      <c r="AC18" s="553"/>
      <c r="AD18" s="567"/>
      <c r="AE18" s="567">
        <f>IF(ISNUMBER(Datos!R18),Datos!R18," - ")</f>
        <v>16</v>
      </c>
      <c r="AF18" s="697" t="str">
        <f>IF(ISNUMBER(Datos!BV18),Datos!BV18," - ")</f>
        <v xml:space="preserve"> - </v>
      </c>
      <c r="AG18" s="556" t="str">
        <f>IF(ISNUMBER(Datos!DV18),Datos!DV18," - ")</f>
        <v xml:space="preserve"> - </v>
      </c>
      <c r="AH18" s="557"/>
      <c r="AI18" s="558"/>
      <c r="AJ18" s="556">
        <f>IF(ISNUMBER(Datos!M18),Datos!M18," - ")</f>
        <v>18</v>
      </c>
      <c r="AK18" s="697">
        <f>IF(ISNUMBER(Datos!N18),Datos!N18," - ")</f>
        <v>41</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2.2363636363636368</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3</v>
      </c>
      <c r="F23" s="1200">
        <f>SUBTOTAL(9,F16:F22)</f>
        <v>574</v>
      </c>
      <c r="G23" s="1200">
        <f>SUBTOTAL(9,G16:G22)</f>
        <v>610</v>
      </c>
      <c r="H23" s="1245">
        <f>SUBTOTAL(9,H16:H22)</f>
        <v>0</v>
      </c>
      <c r="I23" s="1220">
        <f>SUBTOTAL(9,I16:I22)</f>
        <v>0</v>
      </c>
      <c r="J23" s="1167">
        <f>SUBTOTAL(9,J15:J22)</f>
        <v>0</v>
      </c>
      <c r="K23" s="1245">
        <f t="shared" ref="K23:S23" si="4">SUBTOTAL(9,K16:K22)</f>
        <v>0</v>
      </c>
      <c r="L23" s="1245">
        <f t="shared" si="4"/>
        <v>0</v>
      </c>
      <c r="M23" s="1245">
        <f t="shared" si="4"/>
        <v>0</v>
      </c>
      <c r="N23" s="1245">
        <f t="shared" si="4"/>
        <v>38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740</v>
      </c>
      <c r="Z23" s="1245">
        <f t="shared" si="5"/>
        <v>29</v>
      </c>
      <c r="AA23" s="1245">
        <f t="shared" si="5"/>
        <v>583</v>
      </c>
      <c r="AB23" s="1245">
        <f t="shared" si="5"/>
        <v>0</v>
      </c>
      <c r="AC23" s="1245">
        <f t="shared" si="5"/>
        <v>0</v>
      </c>
      <c r="AD23" s="1245">
        <f t="shared" si="5"/>
        <v>0</v>
      </c>
      <c r="AE23" s="1245">
        <f t="shared" si="5"/>
        <v>150</v>
      </c>
      <c r="AF23" s="1245">
        <f t="shared" si="5"/>
        <v>0</v>
      </c>
      <c r="AG23" s="1245">
        <f t="shared" si="5"/>
        <v>0</v>
      </c>
      <c r="AH23" s="1245">
        <f t="shared" si="5"/>
        <v>0</v>
      </c>
      <c r="AI23" s="1245">
        <f t="shared" si="5"/>
        <v>0</v>
      </c>
      <c r="AJ23" s="1245">
        <f t="shared" si="5"/>
        <v>119</v>
      </c>
      <c r="AK23" s="1245">
        <f t="shared" si="5"/>
        <v>488</v>
      </c>
      <c r="AL23" s="1245">
        <f t="shared" si="5"/>
        <v>0</v>
      </c>
      <c r="AM23" s="1245">
        <f t="shared" si="5"/>
        <v>0</v>
      </c>
      <c r="AN23" s="1245">
        <f t="shared" si="5"/>
        <v>0</v>
      </c>
      <c r="AO23" s="1247">
        <f>IF(ISNUMBER(((NºAsuntos!I23/NºAsuntos!G23)*11)/factor_trimestre),((NºAsuntos!I23/NºAsuntos!G23)*11)/factor_trimestre," - ")</f>
        <v>2.3635135135135132</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6</v>
      </c>
      <c r="F31" s="1120">
        <f t="shared" si="10"/>
        <v>583</v>
      </c>
      <c r="G31" s="1120">
        <f t="shared" si="10"/>
        <v>619</v>
      </c>
      <c r="H31" s="1121">
        <f t="shared" si="10"/>
        <v>0</v>
      </c>
      <c r="I31" s="1120">
        <f t="shared" si="10"/>
        <v>0</v>
      </c>
      <c r="J31" s="1122">
        <f t="shared" si="10"/>
        <v>0</v>
      </c>
      <c r="K31" s="1120">
        <f t="shared" si="10"/>
        <v>0</v>
      </c>
      <c r="L31" s="1123">
        <f t="shared" si="10"/>
        <v>0</v>
      </c>
      <c r="M31" s="1120">
        <f t="shared" si="10"/>
        <v>0</v>
      </c>
      <c r="N31" s="1121">
        <f t="shared" si="10"/>
        <v>187</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741</v>
      </c>
      <c r="Z31" s="1127">
        <f t="shared" si="11"/>
        <v>112</v>
      </c>
      <c r="AA31" s="1128">
        <f t="shared" si="11"/>
        <v>594</v>
      </c>
      <c r="AB31" s="1128">
        <f t="shared" si="11"/>
        <v>0</v>
      </c>
      <c r="AC31" s="1128">
        <f t="shared" si="11"/>
        <v>0</v>
      </c>
      <c r="AD31" s="1129">
        <f t="shared" si="11"/>
        <v>0</v>
      </c>
      <c r="AE31" s="1129">
        <f t="shared" si="11"/>
        <v>3238</v>
      </c>
      <c r="AF31" s="1130">
        <f t="shared" si="11"/>
        <v>0</v>
      </c>
      <c r="AG31" s="1131">
        <f t="shared" si="11"/>
        <v>0</v>
      </c>
      <c r="AH31" s="1132">
        <f t="shared" si="11"/>
        <v>0</v>
      </c>
      <c r="AI31" s="1130">
        <f t="shared" si="11"/>
        <v>0</v>
      </c>
      <c r="AJ31" s="1120">
        <f t="shared" si="11"/>
        <v>311</v>
      </c>
      <c r="AK31" s="1120">
        <f t="shared" si="11"/>
        <v>953</v>
      </c>
      <c r="AL31" s="1120">
        <f t="shared" si="11"/>
        <v>0</v>
      </c>
      <c r="AM31" s="1133">
        <f t="shared" si="11"/>
        <v>0</v>
      </c>
      <c r="AN31" s="1123">
        <f>IF(ISNUMBER(Datos!K31/Datos!J31),Datos!K31/Datos!J31," - ")</f>
        <v>0.93218249075215787</v>
      </c>
      <c r="AO31" s="1123">
        <f>IF(ISNUMBER(FIND("06",Criterios!A8,1)),(IF(ISNUMBER(((Datos!R31/Datos!Q31)*11)/factor_trimestre),((Datos!R31/Datos!Q31)*11)/factor_trimestre," - ")),(IF(ISNUMBER(((Datos!L31/Datos!K31)*11)/factor_trimestre),((Datos!L31/Datos!K31)*11)/factor_trimestre," - ")))</f>
        <v>3.9662698412698414</v>
      </c>
      <c r="AP31" s="1134" t="str">
        <f>IF(ISNUMBER(Datos!CI31/Datos!CJ31),Datos!CI31/Datos!CJ31," - ")</f>
        <v xml:space="preserve"> - </v>
      </c>
      <c r="AQ31" s="1134">
        <f>IF(OR(ISNUMBER(FIND("01",Criterios!A8,1)),ISNUMBER(FIND("02",Criterios!A8,1)),ISNUMBER(FIND("03",Criterios!A8,1)),ISNUMBER(FIND("04",Criterios!A8,1))),(J31-Y31+K31)/(F31-K31),(I31-Y31+K31)/(F31-K31))</f>
        <v>-1.2710120068610635</v>
      </c>
      <c r="AR31" s="1134">
        <f>IF(ISNUMBER((Datos!P31-Datos!Q31+O31)/(Datos!R31-Datos!P31+Datos!Q31-O31)),(Datos!P31-Datos!Q31+O31)/(Datos!R31-Datos!P31+Datos!Q31-O31)," - ")</f>
        <v>2.3711666139740753E-2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176.85714285714286</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294.1160768585537</v>
      </c>
      <c r="G33" s="678">
        <f>IF(ISNUMBER(STDEV(G8:G30)),STDEV(G8:G30),"-")</f>
        <v>284.04367538075815</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84.237334783506597</v>
      </c>
      <c r="AK33" s="276"/>
      <c r="AL33" s="276">
        <f>IF(ISNUMBER(STDEV(AL8:AL30)),STDEV(AL8:AL30),"-")</f>
        <v>0</v>
      </c>
      <c r="AM33" s="278">
        <f>IF(ISNUMBER(STDEV(AM8:AM30)),STDEV(AM8:AM30),"-")</f>
        <v>0</v>
      </c>
      <c r="AN33" s="664">
        <f>IF(ISNUMBER(STDEV(AN8:AN30)),STDEV(AN8:AN30),"-")</f>
        <v>0</v>
      </c>
      <c r="AO33" s="665">
        <f>IF(ISNUMBER(STDEV(AO8:AO30)),STDEV(AO8:AO30),"-")</f>
        <v>12.102442083036141</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OU+wzewTo7cupf8THpHKUltX2tDaAX1lfxWR5reK8044Xxnft1WES9lR6QTKNN3/AjvzpO0rvHQ+L6CbyWiYlw==" saltValue="+GpQdyunG/hcbkUgWriAxw=="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841</v>
      </c>
      <c r="B4" s="1896" t="s">
        <v>951</v>
      </c>
      <c r="C4" s="1896" t="s">
        <v>842</v>
      </c>
      <c r="D4" s="1896" t="s">
        <v>909</v>
      </c>
      <c r="E4" s="1898" t="s">
        <v>910</v>
      </c>
      <c r="F4" s="1896" t="s">
        <v>843</v>
      </c>
      <c r="G4" s="1898" t="s">
        <v>601</v>
      </c>
      <c r="H4" s="1891" t="s">
        <v>844</v>
      </c>
      <c r="I4" s="1891" t="s">
        <v>845</v>
      </c>
      <c r="J4" s="1891" t="s">
        <v>846</v>
      </c>
      <c r="K4" s="1893" t="s">
        <v>352</v>
      </c>
      <c r="L4" s="1894"/>
      <c r="M4" s="1894"/>
      <c r="N4" s="1895"/>
      <c r="O4" s="1893" t="s">
        <v>596</v>
      </c>
      <c r="P4" s="1894"/>
      <c r="Q4" s="1894"/>
      <c r="R4" s="1895"/>
    </row>
    <row r="5" spans="1:18" ht="27.75" customHeight="1" thickBot="1">
      <c r="A5" s="1897"/>
      <c r="B5" s="1897"/>
      <c r="C5" s="1897"/>
      <c r="D5" s="1897"/>
      <c r="E5" s="1897"/>
      <c r="F5" s="1897"/>
      <c r="G5" s="1897"/>
      <c r="H5" s="1892"/>
      <c r="I5" s="1892"/>
      <c r="J5" s="1892"/>
      <c r="K5" s="1146" t="s">
        <v>597</v>
      </c>
      <c r="L5" s="1146" t="s">
        <v>598</v>
      </c>
      <c r="M5" s="1146" t="s">
        <v>599</v>
      </c>
      <c r="N5" s="1146" t="s">
        <v>600</v>
      </c>
      <c r="O5" s="1147" t="s">
        <v>597</v>
      </c>
      <c r="P5" s="1146" t="s">
        <v>598</v>
      </c>
      <c r="Q5" s="1146" t="s">
        <v>599</v>
      </c>
      <c r="R5" s="1146" t="s">
        <v>600</v>
      </c>
    </row>
  </sheetData>
  <sheetProtection algorithmName="SHA-512" hashValue="lIRcwNQMP3gE4hIGdD+OJS3VzC50/yBdrJgPrUCe06RfqIlrPNIy6oAGoHvOAWmp73vY+Wl/FvbYb3VJgwqDdw==" saltValue="LZW8k9Y8hvHJXD2l7i22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t="s">
        <v>265</v>
      </c>
      <c r="BO5" s="1606"/>
      <c r="BP5" s="1605" t="s">
        <v>266</v>
      </c>
      <c r="BQ5" s="1606"/>
      <c r="BR5" s="1605" t="s">
        <v>267</v>
      </c>
      <c r="BS5" s="1606"/>
      <c r="BT5" s="1605" t="s">
        <v>268</v>
      </c>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646</v>
      </c>
      <c r="DM5" s="1743" t="s">
        <v>719</v>
      </c>
      <c r="DN5" s="1743" t="s">
        <v>720</v>
      </c>
      <c r="DO5" s="1743" t="s">
        <v>721</v>
      </c>
      <c r="DP5" s="1743" t="s">
        <v>722</v>
      </c>
      <c r="DQ5" s="1743" t="s">
        <v>723</v>
      </c>
      <c r="DR5" s="1743" t="s">
        <v>724</v>
      </c>
      <c r="DS5" s="1743" t="s">
        <v>725</v>
      </c>
      <c r="DT5" s="1743" t="s">
        <v>726</v>
      </c>
      <c r="DU5" s="1762" t="s">
        <v>727</v>
      </c>
      <c r="DV5" s="1750" t="s">
        <v>728</v>
      </c>
      <c r="DW5" s="1747" t="s">
        <v>729</v>
      </c>
      <c r="DX5" s="1743" t="s">
        <v>730</v>
      </c>
      <c r="DY5" s="1731" t="s">
        <v>731</v>
      </c>
      <c r="DZ5" s="1747" t="s">
        <v>732</v>
      </c>
      <c r="EA5" s="1731" t="s">
        <v>733</v>
      </c>
      <c r="EB5" s="1740" t="s">
        <v>793</v>
      </c>
      <c r="EC5" s="1740" t="s">
        <v>794</v>
      </c>
      <c r="ED5" s="1740" t="s">
        <v>795</v>
      </c>
      <c r="EE5" s="1740" t="s">
        <v>835</v>
      </c>
      <c r="EF5" s="1740" t="s">
        <v>839</v>
      </c>
      <c r="EG5" s="1731" t="s">
        <v>837</v>
      </c>
      <c r="EH5" s="1731" t="s">
        <v>838</v>
      </c>
      <c r="EI5" s="1731" t="s">
        <v>797</v>
      </c>
      <c r="EJ5" s="1731" t="s">
        <v>798</v>
      </c>
      <c r="EK5" s="1728" t="s">
        <v>886</v>
      </c>
      <c r="EL5" s="1734" t="s">
        <v>904</v>
      </c>
      <c r="EM5" s="1735"/>
      <c r="EN5" s="1736"/>
      <c r="EO5" s="1725" t="s">
        <v>1010</v>
      </c>
      <c r="EP5" s="1725" t="s">
        <v>1012</v>
      </c>
      <c r="EQ5" s="1725" t="s">
        <v>1013</v>
      </c>
      <c r="ER5" s="1725" t="s">
        <v>1027</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225</v>
      </c>
      <c r="BO6" s="1603" t="s">
        <v>226</v>
      </c>
      <c r="BP6" s="1603" t="s">
        <v>225</v>
      </c>
      <c r="BQ6" s="1603" t="s">
        <v>226</v>
      </c>
      <c r="BR6" s="1603" t="s">
        <v>225</v>
      </c>
      <c r="BS6" s="1603" t="s">
        <v>226</v>
      </c>
      <c r="BT6" s="1603" t="s">
        <v>225</v>
      </c>
      <c r="BU6" s="1603" t="s">
        <v>226</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905</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OAtCmuRmH1TQb3ES6QWLx+PZS0T3JUD8Dpbw5tY5q2HMyc8WsFmveLcPqIR7U0/U7ZCo1NFJcXLh1SURqblg==" saltValue="dN862sueE0GOi5z+B0PDy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ARUCAS</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469</v>
      </c>
      <c r="B5" s="297"/>
      <c r="C5" s="1640" t="str">
        <f>"Año:  " &amp;Criterios!B$5 &amp; "          Trimestre   " &amp;Criterios!D$5 &amp; " al " &amp;Criterios!D$6</f>
        <v>Año:  2021          Trimestre   4 al 4</v>
      </c>
      <c r="D5" s="1845" t="s">
        <v>495</v>
      </c>
      <c r="E5" s="1845" t="s">
        <v>762</v>
      </c>
      <c r="F5" s="1883" t="s">
        <v>531</v>
      </c>
      <c r="G5" s="1845" t="s">
        <v>176</v>
      </c>
      <c r="H5" s="1845" t="s">
        <v>795</v>
      </c>
      <c r="I5" s="1845" t="s">
        <v>763</v>
      </c>
      <c r="J5" s="1845" t="s">
        <v>880</v>
      </c>
      <c r="K5" s="1845" t="s">
        <v>764</v>
      </c>
      <c r="L5" s="1845" t="s">
        <v>719</v>
      </c>
      <c r="M5" s="1875" t="s">
        <v>793</v>
      </c>
      <c r="N5" s="1845" t="s">
        <v>937</v>
      </c>
      <c r="O5" s="1845" t="s">
        <v>896</v>
      </c>
      <c r="P5" s="1845" t="s">
        <v>232</v>
      </c>
      <c r="Q5" s="1878" t="s">
        <v>892</v>
      </c>
      <c r="R5" s="1878" t="s">
        <v>938</v>
      </c>
      <c r="S5" s="1845" t="s">
        <v>796</v>
      </c>
      <c r="T5" s="1878" t="s">
        <v>765</v>
      </c>
      <c r="U5" s="1878" t="s">
        <v>1055</v>
      </c>
      <c r="V5" s="1878" t="s">
        <v>1056</v>
      </c>
      <c r="W5" s="1848" t="s">
        <v>821</v>
      </c>
      <c r="X5" s="1851" t="s">
        <v>766</v>
      </c>
      <c r="Y5" s="1848" t="s">
        <v>767</v>
      </c>
      <c r="Z5" s="1848" t="s">
        <v>768</v>
      </c>
      <c r="AA5" s="1845" t="s">
        <v>897</v>
      </c>
      <c r="AB5" s="1845" t="s">
        <v>903</v>
      </c>
      <c r="AC5" s="1845" t="s">
        <v>246</v>
      </c>
      <c r="AD5" s="1860" t="s">
        <v>244</v>
      </c>
      <c r="AE5" s="1845" t="s">
        <v>898</v>
      </c>
      <c r="AF5" s="1863" t="s">
        <v>899</v>
      </c>
      <c r="AG5" s="1866" t="s">
        <v>728</v>
      </c>
      <c r="AH5" s="1845" t="s">
        <v>729</v>
      </c>
      <c r="AI5" s="1845" t="s">
        <v>819</v>
      </c>
      <c r="AJ5" s="1869" t="s">
        <v>820</v>
      </c>
      <c r="AK5" s="1866" t="s">
        <v>247</v>
      </c>
      <c r="AL5" s="1845" t="s">
        <v>772</v>
      </c>
      <c r="AM5" s="1845" t="s">
        <v>325</v>
      </c>
      <c r="AN5" s="1845" t="s">
        <v>326</v>
      </c>
      <c r="AO5" s="1845" t="s">
        <v>327</v>
      </c>
      <c r="AP5" s="1845" t="s">
        <v>773</v>
      </c>
      <c r="AQ5" s="1845" t="s">
        <v>328</v>
      </c>
      <c r="AR5" s="1845" t="s">
        <v>774</v>
      </c>
      <c r="AS5" s="1845" t="s">
        <v>775</v>
      </c>
      <c r="AT5" s="1845" t="s">
        <v>776</v>
      </c>
      <c r="AU5" s="1845" t="s">
        <v>804</v>
      </c>
      <c r="AV5" s="1845" t="s">
        <v>797</v>
      </c>
      <c r="AW5" s="1845" t="s">
        <v>440</v>
      </c>
      <c r="AX5" s="1845" t="s">
        <v>798</v>
      </c>
      <c r="AY5" s="1845" t="s">
        <v>777</v>
      </c>
      <c r="AZ5" s="1845" t="s">
        <v>727</v>
      </c>
      <c r="BT5" s="1845" t="s">
        <v>1057</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0.23529411764705882</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0.16637806616154061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gghXS5E0T5qQEcOGX18dkO10/D3E+qGGLhu1NrIlZro5KcsCt93qllGU8PYKaSGH71i/A0zmesQBweHK943/aQ==" saltValue="uKP7Y7/lVIC4OHB9nr/6qg=="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1LBguuI/FsbeJrf7CtwQvHry2aIr4AiPlqJBqz3aY1B604RyEjwLLF8GfjVLX/tQmlfP10foysTux2rYacsRtA==" saltValue="0wFRbdANuUF6FALpdPca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ARUCAS</v>
      </c>
      <c r="C4" s="437"/>
      <c r="D4" s="437"/>
      <c r="E4" s="437"/>
      <c r="F4" s="437"/>
    </row>
    <row r="5" spans="1:14" ht="15.75" customHeight="1">
      <c r="A5" s="1551" t="str">
        <f>"Año:  " &amp;Criterios!B5 &amp; "     Trimestre   " &amp;Criterios!D5 &amp; " al " &amp;Criterios!D6</f>
        <v>Año:  2021     Trimestre   4 al 4</v>
      </c>
      <c r="B5" s="1084" t="s">
        <v>163</v>
      </c>
      <c r="C5" s="1553" t="s">
        <v>176</v>
      </c>
      <c r="D5" s="1554"/>
      <c r="E5" s="1553" t="s">
        <v>126</v>
      </c>
      <c r="F5" s="1554"/>
      <c r="G5" s="1553" t="s">
        <v>14</v>
      </c>
      <c r="H5" s="1554"/>
      <c r="I5" s="1553" t="s">
        <v>177</v>
      </c>
      <c r="J5" s="1554"/>
      <c r="K5" s="1560" t="s">
        <v>1016</v>
      </c>
      <c r="L5" s="1544" t="s">
        <v>1079</v>
      </c>
      <c r="M5" s="1544" t="s">
        <v>1014</v>
      </c>
      <c r="N5" s="1547" t="s">
        <v>1015</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9</v>
      </c>
      <c r="D10" s="453">
        <f>IF(ISNUMBER(C10/Datos!BH10),C10/Datos!BH10," - ")</f>
        <v>9</v>
      </c>
      <c r="E10" s="452">
        <f>IF(ISNUMBER(Datos!J10),Datos!J10," - ")</f>
        <v>3</v>
      </c>
      <c r="F10" s="453">
        <f>IF(ISNUMBER(E10/B10),E10/B10," - ")</f>
        <v>3</v>
      </c>
      <c r="G10" s="452">
        <f>IF(ISNUMBER(Datos!K10),Datos!K10," - ")</f>
        <v>1</v>
      </c>
      <c r="H10" s="453">
        <f>IF(ISNUMBER(G10/B10),G10/B10," - ")</f>
        <v>1</v>
      </c>
      <c r="I10" s="452">
        <f>IF(ISNUMBER(Datos!L10),Datos!L10," - ")</f>
        <v>11</v>
      </c>
      <c r="J10" s="453">
        <f>IF(ISNUMBER(I10/B10),I10/B10," - ")</f>
        <v>11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1352</v>
      </c>
      <c r="D12" s="453">
        <f>IF(ISNUMBER(C12/Datos!BH12),C12/Datos!BH12," - ")</f>
        <v>450.66666666666669</v>
      </c>
      <c r="E12" s="452">
        <f>IF(ISNUMBER(IF(J_V="SI",Datos!J12,Datos!J12+Datos!Z12)),IF(J_V="SI",Datos!J12,Datos!J12+Datos!Z12)," - ")</f>
        <v>960</v>
      </c>
      <c r="F12" s="453">
        <f>IF(ISNUMBER(E12/B12),E12/B12," - ")</f>
        <v>320</v>
      </c>
      <c r="G12" s="452">
        <f>IF(ISNUMBER(IF(J_V="SI",Datos!K12,Datos!K12+Datos!AA12)),IF(J_V="SI",Datos!K12,Datos!K12+Datos!AA12)," - ")</f>
        <v>815</v>
      </c>
      <c r="H12" s="453">
        <f>IF(ISNUMBER(G12/B12),G12/B12," - ")</f>
        <v>271.66666666666669</v>
      </c>
      <c r="I12" s="452">
        <f>IF(ISNUMBER(IF(J_V="SI",Datos!L12,Datos!L12+Datos!AB12)),IF(J_V="SI",Datos!L12,Datos!L12+Datos!AB12)," - ")</f>
        <v>1497</v>
      </c>
      <c r="J12" s="453">
        <f>IF(ISNUMBER(I12/B12),I12/B12," - ")</f>
        <v>499</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1361</v>
      </c>
      <c r="D14" s="1150" t="str">
        <f>IF(ISNUMBER(C14/Datos!BI14),C14/Datos!BI14," - ")</f>
        <v xml:space="preserve"> - </v>
      </c>
      <c r="E14" s="1149">
        <f>SUBTOTAL(9,E8:E13)</f>
        <v>963</v>
      </c>
      <c r="F14" s="1150">
        <f>IF(ISNUMBER(E14/B14),E14/B14," - ")</f>
        <v>321</v>
      </c>
      <c r="G14" s="1149">
        <f>SUBTOTAL(9,G8:G13)</f>
        <v>816</v>
      </c>
      <c r="H14" s="1150">
        <f>IF(ISNUMBER(G14/B14),G14/B14," - ")</f>
        <v>272</v>
      </c>
      <c r="I14" s="1149">
        <f>SUBTOTAL(9,I8:I13)</f>
        <v>1508</v>
      </c>
      <c r="J14" s="1150">
        <f>IF(ISNUMBER(I14/B14),I14/B14," - ")</f>
        <v>502.66666666666669</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574</v>
      </c>
      <c r="D17" s="453">
        <f>IF(ISNUMBER(C17/Datos!BH17),C17/Datos!BH17," - ")</f>
        <v>191.33333333333334</v>
      </c>
      <c r="E17" s="452">
        <f>IF(ISNUMBER(IF(D_I="SI",Datos!J17,Datos!J17+Datos!AD17)),IF(D_I="SI",Datos!J17,Datos!J17+Datos!AD17)," - ")</f>
        <v>653</v>
      </c>
      <c r="F17" s="453">
        <f>IF(ISNUMBER(E17/B17),E17/B17," - ")</f>
        <v>217.66666666666666</v>
      </c>
      <c r="G17" s="452">
        <f>IF(ISNUMBER(IF(D_I="SI",Datos!K17,Datos!K17+Datos!AE17)),IF(D_I="SI",Datos!K17,Datos!K17+Datos!AE17)," - ")</f>
        <v>685</v>
      </c>
      <c r="H17" s="453">
        <f>IF(ISNUMBER(G17/B17),G17/B17," - ")</f>
        <v>228.33333333333334</v>
      </c>
      <c r="I17" s="452">
        <f>IF(ISNUMBER(IF(D_I="SI",Datos!L17,Datos!L17+Datos!AF17)),IF(D_I="SI",Datos!L17,Datos!L17+Datos!AF17)," - ")</f>
        <v>542</v>
      </c>
      <c r="J17" s="453">
        <f>IF(ISNUMBER(I17/B17),I17/B17," - ")</f>
        <v>180.66666666666666</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36</v>
      </c>
      <c r="D18" s="453">
        <f>IF(ISNUMBER(C18/Datos!BH18),C18/Datos!BH18," - ")</f>
        <v>36</v>
      </c>
      <c r="E18" s="452">
        <f>IF(ISNUMBER(IF(D_I="SI",Datos!J18,Datos!J18+Datos!AD18)),IF(D_I="SI",Datos!J18,Datos!J18+Datos!AD18)," - ")</f>
        <v>60</v>
      </c>
      <c r="F18" s="453">
        <f>IF(ISNUMBER(E18/B18),E18/B18," - ")</f>
        <v>60</v>
      </c>
      <c r="G18" s="452">
        <f>IF(ISNUMBER(IF(D_I="SI",Datos!K18,Datos!K18+Datos!AE18)),IF(D_I="SI",Datos!K18,Datos!K18+Datos!AE18)," - ")</f>
        <v>55</v>
      </c>
      <c r="H18" s="453">
        <f>IF(ISNUMBER(G18/B18),G18/B18," - ")</f>
        <v>55</v>
      </c>
      <c r="I18" s="452">
        <f>IF(ISNUMBER(IF(D_I="SI",Datos!L18,Datos!L18+Datos!AF18)),IF(D_I="SI",Datos!L18,Datos!L18+Datos!AF18)," - ")</f>
        <v>41</v>
      </c>
      <c r="J18" s="453">
        <f>IF(ISNUMBER(I18/B18),I18/B18," - ")</f>
        <v>41</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610</v>
      </c>
      <c r="D23" s="1150" t="str">
        <f>IF(ISNUMBER(C23/Datos!BI23),C23/Datos!BI23," - ")</f>
        <v xml:space="preserve"> - </v>
      </c>
      <c r="E23" s="1149">
        <f>SUBTOTAL(9,E15:E22)</f>
        <v>713</v>
      </c>
      <c r="F23" s="1150">
        <f>IF(ISNUMBER(E23/B23),E23/B23," - ")</f>
        <v>237.66666666666666</v>
      </c>
      <c r="G23" s="1149">
        <f>SUBTOTAL(9,G15:G22)</f>
        <v>740</v>
      </c>
      <c r="H23" s="1150">
        <f>IF(ISNUMBER(G23/B23),G23/B23," - ")</f>
        <v>246.66666666666666</v>
      </c>
      <c r="I23" s="1149">
        <f>SUBTOTAL(9,I15:I22)</f>
        <v>583</v>
      </c>
      <c r="J23" s="1150">
        <f>IF(ISNUMBER(I23/B23),I23/B23," - ")</f>
        <v>194.33333333333334</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3</v>
      </c>
      <c r="C31" s="1087">
        <f>SUBTOTAL(9,C9:C30)</f>
        <v>1971</v>
      </c>
      <c r="D31" s="1088" t="str">
        <f>IF(ISNUMBER(C31/Datos!BI31),C31/Datos!BI31," - ")</f>
        <v xml:space="preserve"> - </v>
      </c>
      <c r="E31" s="1087">
        <f>SUBTOTAL(9,E9:E30)</f>
        <v>1676</v>
      </c>
      <c r="F31" s="1088">
        <f>IF(ISNUMBER(E31/B31),E31/B31," - ")</f>
        <v>558.66666666666663</v>
      </c>
      <c r="G31" s="1087">
        <f>SUBTOTAL(9,G9:G30)</f>
        <v>1556</v>
      </c>
      <c r="H31" s="1088">
        <f>IF(ISNUMBER(G31/B31),G31/B31," - ")</f>
        <v>518.66666666666663</v>
      </c>
      <c r="I31" s="1087">
        <f>SUBTOTAL(9,I9:I30)</f>
        <v>2091</v>
      </c>
      <c r="J31" s="1088">
        <f>IF(ISNUMBER(I31/B31),I31/B31," - ")</f>
        <v>697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daaSybfyxGAjftMnVT3NkrBAdenVYYp6CwkNqSC/fcSEjv6RQVTcsOnk1LryWtDPF8+V4S0g8px6ggWzA4LncQ==" saltValue="v1fDvAR9rg7Y49Bz+7/s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ARUCAS</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469</v>
      </c>
      <c r="B5" s="297"/>
      <c r="C5" s="1640" t="str">
        <f>"Año:  " &amp;Criterios!B$5 &amp; "          Trimestre   " &amp;Criterios!D$5 &amp; " al " &amp;Criterios!D$6</f>
        <v>Año:  2021          Trimestre   4 al 4</v>
      </c>
      <c r="D5" s="1845" t="s">
        <v>549</v>
      </c>
      <c r="E5" s="1845" t="s">
        <v>762</v>
      </c>
      <c r="F5" s="1883" t="s">
        <v>531</v>
      </c>
      <c r="G5" s="1845" t="s">
        <v>176</v>
      </c>
      <c r="H5" s="1845" t="s">
        <v>911</v>
      </c>
      <c r="I5" s="1845" t="s">
        <v>912</v>
      </c>
      <c r="J5" s="1845" t="s">
        <v>915</v>
      </c>
      <c r="K5" s="1845" t="s">
        <v>916</v>
      </c>
      <c r="L5" s="1845" t="s">
        <v>793</v>
      </c>
      <c r="M5" s="1845" t="s">
        <v>937</v>
      </c>
      <c r="N5" s="1845" t="s">
        <v>917</v>
      </c>
      <c r="O5" s="1845" t="s">
        <v>913</v>
      </c>
      <c r="P5" s="1845" t="s">
        <v>232</v>
      </c>
      <c r="Q5" s="1845" t="s">
        <v>892</v>
      </c>
      <c r="R5" s="1845" t="s">
        <v>938</v>
      </c>
      <c r="S5" s="1845" t="str">
        <f>"Ingreso Computable 2003" &amp; IF(OR(EXACT(LEFT(boletin,2),"04"),EXACT(LEFT(boletin,2),"14"),EXACT(LEFT(boletin,2),"17"))," (Civil + Penal)","")</f>
        <v>Ingreso Computable 2003</v>
      </c>
      <c r="T5" s="1845" t="s">
        <v>914</v>
      </c>
      <c r="U5" s="1878" t="str">
        <f>"% Ingreso Computable 2003" &amp; IF(OR(EXACT(LEFT(boletin,2),"04"),EXACT(LEFT(boletin,2),"14"),EXACT(LEFT(boletin,2),"17"))," (Civil + Penal)","")</f>
        <v>% Ingreso Computable 2003</v>
      </c>
      <c r="V5" s="1878" t="s">
        <v>918</v>
      </c>
      <c r="W5" s="1845" t="s">
        <v>1049</v>
      </c>
      <c r="X5" s="1845" t="s">
        <v>1050</v>
      </c>
      <c r="Y5" s="1857" t="s">
        <v>883</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919</v>
      </c>
      <c r="AC5" s="1907" t="s">
        <v>920</v>
      </c>
      <c r="AD5" s="1907" t="s">
        <v>921</v>
      </c>
      <c r="AE5" s="1907" t="s">
        <v>922</v>
      </c>
      <c r="AF5" s="1845" t="s">
        <v>923</v>
      </c>
      <c r="AG5" s="1845" t="s">
        <v>924</v>
      </c>
      <c r="AH5" s="1845" t="s">
        <v>925</v>
      </c>
      <c r="AI5" s="1845" t="s">
        <v>926</v>
      </c>
      <c r="AJ5" s="1845" t="s">
        <v>246</v>
      </c>
      <c r="AK5" s="1866" t="s">
        <v>728</v>
      </c>
      <c r="AL5" s="1866" t="s">
        <v>247</v>
      </c>
      <c r="AM5" s="1845" t="s">
        <v>772</v>
      </c>
      <c r="AN5" s="1845" t="s">
        <v>325</v>
      </c>
      <c r="AO5" s="1845" t="s">
        <v>326</v>
      </c>
      <c r="AP5" s="1845" t="s">
        <v>927</v>
      </c>
      <c r="AQ5" s="1845" t="s">
        <v>928</v>
      </c>
      <c r="AR5" s="1845" t="s">
        <v>929</v>
      </c>
      <c r="AS5" s="1845" t="s">
        <v>930</v>
      </c>
      <c r="AT5" s="1845" t="s">
        <v>931</v>
      </c>
      <c r="AU5" s="1845" t="s">
        <v>932</v>
      </c>
      <c r="AV5" s="1845" t="s">
        <v>933</v>
      </c>
      <c r="AW5" s="1845" t="s">
        <v>934</v>
      </c>
      <c r="AX5" s="1845" t="s">
        <v>440</v>
      </c>
      <c r="AY5" s="1845" t="s">
        <v>935</v>
      </c>
      <c r="AZ5" s="1845" t="s">
        <v>936</v>
      </c>
      <c r="BA5" s="1845" t="s">
        <v>727</v>
      </c>
      <c r="BB5" s="1716" t="s">
        <v>943</v>
      </c>
      <c r="BC5" s="1716" t="s">
        <v>944</v>
      </c>
      <c r="BD5" s="1883" t="s">
        <v>945</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9</v>
      </c>
      <c r="G10" s="909">
        <f>IF(ISNUMBER(Datos!I10),Datos!I10," - ")</f>
        <v>9</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0</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v>
      </c>
      <c r="AC10" s="908" t="str">
        <f>IF(ISNUMBER(IF(D_I="SI",DatosP!K18,DatosP!K18+DatosP!AE18)),IF(D_I="SI",DatosP!K18,DatosP!K18+DatosP!AE18)," - ")</f>
        <v xml:space="preserve"> - </v>
      </c>
      <c r="AD10" s="910"/>
      <c r="AE10" s="910"/>
      <c r="AF10" s="913">
        <f>IF(ISNUMBER(Datos!L10),Datos!L10,"-")</f>
        <v>11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v>
      </c>
      <c r="AM10" s="917">
        <f>IF(ISNUMBER(Datos!N10+DatosP!N18),Datos!N10+DatosP!N18," - ")</f>
        <v>0</v>
      </c>
      <c r="AN10" s="917">
        <f>IF(ISNUMBER(Datos!BW10+DatosP!BW18),Datos!BW10+DatosP!BW18," - ")</f>
        <v>0</v>
      </c>
      <c r="AO10" s="918">
        <f>IF(ISNUMBER(Datos!BX10+DatosP!BX18),Datos!BX10+DatosP!BX18," - ")</f>
        <v>0</v>
      </c>
      <c r="AP10" s="920">
        <f>IF(ISNUMBER(((Datos!L10/Datos!K10)*11)/factor_trimestre),((Datos!L10/Datos!K10)*11)/factor_trimestre," - ")</f>
        <v>33</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324</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149</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83</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3086</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191</v>
      </c>
      <c r="AM12" s="917">
        <f>IF(ISNUMBER(Datos!N12+DatosP!N17),Datos!N12+DatosP!N17," - ")</f>
        <v>465</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5.5104294478527613</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2.1854304635761591E-2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9</v>
      </c>
      <c r="G14" s="1261">
        <f t="shared" si="0"/>
        <v>9</v>
      </c>
      <c r="H14" s="1261">
        <f t="shared" si="0"/>
        <v>0</v>
      </c>
      <c r="I14" s="1263">
        <f t="shared" si="0"/>
        <v>0</v>
      </c>
      <c r="J14" s="1262">
        <f t="shared" si="0"/>
        <v>0</v>
      </c>
      <c r="K14" s="1262">
        <f t="shared" si="0"/>
        <v>0</v>
      </c>
      <c r="L14" s="1264">
        <f t="shared" si="0"/>
        <v>0</v>
      </c>
      <c r="M14" s="1264">
        <f t="shared" si="0"/>
        <v>0</v>
      </c>
      <c r="N14" s="1262">
        <f t="shared" si="0"/>
        <v>149</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v>
      </c>
      <c r="AC14" s="1262">
        <f t="shared" si="1"/>
        <v>0</v>
      </c>
      <c r="AD14" s="1262">
        <f t="shared" si="1"/>
        <v>83</v>
      </c>
      <c r="AE14" s="1262">
        <f t="shared" si="1"/>
        <v>0</v>
      </c>
      <c r="AF14" s="1262">
        <f t="shared" si="1"/>
        <v>11</v>
      </c>
      <c r="AG14" s="1262">
        <f t="shared" si="1"/>
        <v>0</v>
      </c>
      <c r="AH14" s="1262">
        <f t="shared" si="1"/>
        <v>3086</v>
      </c>
      <c r="AI14" s="1262">
        <f t="shared" si="1"/>
        <v>0</v>
      </c>
      <c r="AJ14" s="1262">
        <f t="shared" si="1"/>
        <v>0</v>
      </c>
      <c r="AK14" s="1262">
        <f t="shared" si="1"/>
        <v>0</v>
      </c>
      <c r="AL14" s="1262">
        <f t="shared" si="1"/>
        <v>192</v>
      </c>
      <c r="AM14" s="1262">
        <f t="shared" si="1"/>
        <v>465</v>
      </c>
      <c r="AN14" s="1262">
        <f t="shared" si="1"/>
        <v>0</v>
      </c>
      <c r="AO14" s="1262">
        <f t="shared" si="1"/>
        <v>0</v>
      </c>
      <c r="AP14" s="1267">
        <f>IF(ISNUMBER(((Datos!L14/Datos!K14)*11)/factor_trimestre),((Datos!L14/Datos!K14)*11)/factor_trimestre," - ")</f>
        <v>5.5025906735751295</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-0.1111111111111111</v>
      </c>
      <c r="AU14" s="1262" t="str">
        <f>IF(ISNUMBER((DatosP!#REF!-DatosP!#REF!+DatosP!#REF!)/(DatosP!#REF!+DatosP!#REF!-DatosP!#REF!-DatosP!#REF!)),(DatosP!#REF!-DatosP!#REF!+DatosP!#REF!)/(DatosP!#REF!+DatosP!#REF!-DatosP!#REF!-DatosP!#REF!)," - ")</f>
        <v xml:space="preserve"> - </v>
      </c>
      <c r="AV14" s="1268">
        <f>SUBTOTAL(9,AV9:AV13)</f>
        <v>2.1854304635761591E-2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2.3635135135135132</v>
      </c>
      <c r="AQ23" s="1267">
        <f>IF(ISNUMBER(((Datos!M23/Datos!L23)*11)/factor_trimestre),((Datos!M23/Datos!L23)*11)/factor_trimestre," - ")</f>
        <v>0.6123499142367067</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6.3829787234042548E-2</v>
      </c>
      <c r="AW23" s="1270">
        <f>IF(ISNUMBER((Datos!Q23-Datos!R23)/(Datos!S23-Datos!Q23+Datos!R23)),(Datos!Q23-Datos!R23)/(Datos!S23-Datos!Q23+Datos!R23)," - ")</f>
        <v>-0.14901477832512317</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9</v>
      </c>
      <c r="G31" s="1283">
        <f t="shared" si="8"/>
        <v>9</v>
      </c>
      <c r="H31" s="1283">
        <f t="shared" si="8"/>
        <v>0</v>
      </c>
      <c r="I31" s="1284">
        <f t="shared" si="8"/>
        <v>0</v>
      </c>
      <c r="J31" s="1285">
        <f t="shared" si="8"/>
        <v>0</v>
      </c>
      <c r="K31" s="1285">
        <f t="shared" si="8"/>
        <v>0</v>
      </c>
      <c r="L31" s="1285">
        <f t="shared" si="8"/>
        <v>0</v>
      </c>
      <c r="M31" s="1285">
        <f t="shared" si="8"/>
        <v>0</v>
      </c>
      <c r="N31" s="1284">
        <f t="shared" si="8"/>
        <v>149</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v>
      </c>
      <c r="AC31" s="1289">
        <f t="shared" si="9"/>
        <v>0</v>
      </c>
      <c r="AD31" s="1289">
        <f t="shared" si="9"/>
        <v>83</v>
      </c>
      <c r="AE31" s="1289">
        <f t="shared" si="9"/>
        <v>0</v>
      </c>
      <c r="AF31" s="1290">
        <f t="shared" si="9"/>
        <v>11</v>
      </c>
      <c r="AG31" s="1290">
        <f t="shared" si="9"/>
        <v>0</v>
      </c>
      <c r="AH31" s="1290">
        <f t="shared" si="9"/>
        <v>3086</v>
      </c>
      <c r="AI31" s="1290">
        <f t="shared" si="9"/>
        <v>0</v>
      </c>
      <c r="AJ31" s="1291">
        <f t="shared" si="9"/>
        <v>0</v>
      </c>
      <c r="AK31" s="1291">
        <f t="shared" si="9"/>
        <v>0</v>
      </c>
      <c r="AL31" s="1283">
        <f t="shared" si="9"/>
        <v>192</v>
      </c>
      <c r="AM31" s="1283">
        <f t="shared" si="9"/>
        <v>465</v>
      </c>
      <c r="AN31" s="1283">
        <f t="shared" si="9"/>
        <v>0</v>
      </c>
      <c r="AO31" s="1283">
        <f t="shared" si="9"/>
        <v>0</v>
      </c>
      <c r="AP31" s="1283">
        <f>IF(ISNUMBER(((Datos!L31/Datos!K31)*11)/factor_trimestre),((Datos!L31/Datos!K31)*11)/factor_trimestre," - ")</f>
        <v>3.9662698412698414</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-0.1111111111111111</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2.3711666139740753E-2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1.3228756555322954</v>
      </c>
      <c r="F33" s="1009">
        <f>IF(ISNUMBER(STDEV(F8:F30)),STDEV(F8:F30),"-")</f>
        <v>4.9295030175464953</v>
      </c>
      <c r="G33" s="1010">
        <f>IF(ISNUMBER(STDEV(G8:G30)),STDEV(G8:G30),"-")</f>
        <v>4.9295030175464953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0.54772255750516607</v>
      </c>
      <c r="AC33" s="1011">
        <f>IF(ISNUMBER(STDEV(AC8:AC30)),STDEV(AC8:AC30),"-")</f>
        <v>0</v>
      </c>
      <c r="AD33" s="1014"/>
      <c r="AE33" s="1014"/>
      <c r="AF33" s="1014"/>
      <c r="AG33" s="1014"/>
      <c r="AH33" s="1014"/>
      <c r="AI33" s="1014"/>
      <c r="AJ33" s="1015">
        <f>IF(ISNUMBER(STDEV(AJ8:AJ30)),STDEV(AJ8:AJ30),"-")</f>
        <v>0</v>
      </c>
      <c r="AK33" s="1017"/>
      <c r="AL33" s="1009">
        <f>IF(ISNUMBER(STDEV(AL8:AL30)),STDEV(AL8:AL30),"-")</f>
        <v>98.762341001011109</v>
      </c>
      <c r="AM33" s="1009"/>
      <c r="AN33" s="1009">
        <f>IF(ISNUMBER(STDEV(AN8:AN30)),STDEV(AN8:AN30),"-")</f>
        <v>0</v>
      </c>
      <c r="AO33" s="1015">
        <f>IF(ISNUMBER(STDEV(AO8:AO30)),STDEV(AO8:AO30),"-")</f>
        <v>0</v>
      </c>
      <c r="AP33" s="1068">
        <f>IF(ISNUMBER(STDEV(AP8:AP30)),STDEV(AP8:AP30),"-")</f>
        <v>14.347285631215255</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CxsqxTIKXuueB+2D+RS7+82Q4A+SGXy64jOnOukdQv4kI/PDGfw/jsxl0OX6+KNesquVovTU253ie5KnhgG1NQ==" saltValue="xP6g9RfZ+gdX+4mJ9JplN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ARUCAS</v>
      </c>
      <c r="C4" s="437"/>
      <c r="E4" s="437"/>
      <c r="F4" s="437"/>
      <c r="G4" s="437"/>
      <c r="H4" s="437"/>
    </row>
    <row r="5" spans="1:15" ht="15.75" customHeight="1">
      <c r="A5" s="1563" t="str">
        <f>"Año:  " &amp;Criterios!B5</f>
        <v>Año:  2021</v>
      </c>
      <c r="B5" s="1553" t="s">
        <v>270</v>
      </c>
      <c r="C5" s="1566"/>
      <c r="D5" s="1553" t="s">
        <v>287</v>
      </c>
      <c r="E5" s="1571"/>
      <c r="F5" s="1566"/>
      <c r="G5" s="1553" t="s">
        <v>272</v>
      </c>
      <c r="H5" s="1554"/>
      <c r="I5" s="1553" t="s">
        <v>273</v>
      </c>
      <c r="J5" s="1554"/>
      <c r="K5" s="1553" t="s">
        <v>274</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9qJNVM7ZowdLretG1eE/qPhf3AaOcAcIKrGTCBEqmdrCZ11D3A7LMom4XEsOM9Lspwn6rkdovorWTkYeNjjkQg==" saltValue="XyayNGsHMl8nSJc2Ciq2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ARUCAS</v>
      </c>
    </row>
    <row r="5" spans="1:9" ht="15.75" customHeight="1">
      <c r="A5" s="1563" t="str">
        <f>"Año:  " &amp;Criterios!B5 &amp; "                  Trimestre   " &amp;Criterios!D5 &amp; " al " &amp;Criterios!D6</f>
        <v>Año:  2021                  Trimestre   4 al 4</v>
      </c>
      <c r="B5" s="1575" t="s">
        <v>163</v>
      </c>
      <c r="C5" s="1577" t="s">
        <v>170</v>
      </c>
      <c r="D5" s="1553" t="s">
        <v>119</v>
      </c>
      <c r="E5" s="1554"/>
      <c r="F5" s="1553" t="s">
        <v>120</v>
      </c>
      <c r="G5" s="1558"/>
      <c r="H5" s="1553" t="s">
        <v>302</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1</v>
      </c>
      <c r="E10" s="453">
        <f>IF(ISNUMBER(D10/B10),D10/B10," - ")</f>
        <v>1</v>
      </c>
      <c r="F10" s="452">
        <f>IF(ISNUMBER(Datos!N10),Datos!N10," - ")</f>
        <v>0</v>
      </c>
      <c r="G10" s="453">
        <f>IF(ISNUMBER(F10/B10),F10/B10," - ")</f>
        <v>0</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191</v>
      </c>
      <c r="E12" s="453">
        <f t="shared" si="0"/>
        <v>63.666666666666664</v>
      </c>
      <c r="F12" s="452">
        <f>IF(ISNUMBER(Datos!N12),Datos!N12," - ")</f>
        <v>465</v>
      </c>
      <c r="G12" s="453">
        <f t="shared" si="1"/>
        <v>155</v>
      </c>
      <c r="H12" s="452">
        <f>IF(ISNUMBER(Datos!O12),Datos!O12," - ")</f>
        <v>238</v>
      </c>
      <c r="I12" s="453">
        <f t="shared" si="2"/>
        <v>79.333333333333329</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192</v>
      </c>
      <c r="E14" s="1150">
        <f t="shared" si="0"/>
        <v>48</v>
      </c>
      <c r="F14" s="1149">
        <f>SUBTOTAL(9,F9:F13)</f>
        <v>465</v>
      </c>
      <c r="G14" s="1150">
        <f t="shared" si="1"/>
        <v>116.25</v>
      </c>
      <c r="H14" s="1149">
        <f>SUBTOTAL(9,H9:H13)</f>
        <v>238</v>
      </c>
      <c r="I14" s="1150">
        <f>IF(ISNUMBER(H14/B14),H14/B14," - ")</f>
        <v>59.5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101</v>
      </c>
      <c r="E17" s="453">
        <f t="shared" si="3"/>
        <v>33.666666666666664</v>
      </c>
      <c r="F17" s="452">
        <f>IF(ISNUMBER(Datos!N17),Datos!N17," - ")</f>
        <v>447</v>
      </c>
      <c r="G17" s="453">
        <f t="shared" si="4"/>
        <v>149</v>
      </c>
      <c r="H17" s="452">
        <f>IF(ISNUMBER(Datos!O17),Datos!O17," - ")</f>
        <v>18</v>
      </c>
      <c r="I17" s="453">
        <f t="shared" si="5"/>
        <v>6</v>
      </c>
    </row>
    <row r="18" spans="1:9">
      <c r="A18" s="451" t="str">
        <f>Datos!A18</f>
        <v>Jdos. Violencia contra la mujer</v>
      </c>
      <c r="B18" s="481">
        <f>Datos!AO18</f>
        <v>1</v>
      </c>
      <c r="C18" s="482">
        <f>Datos!AQ18</f>
        <v>0</v>
      </c>
      <c r="D18" s="452">
        <f>IF(ISNUMBER(Datos!M18),Datos!M18," - ")</f>
        <v>18</v>
      </c>
      <c r="E18" s="453">
        <f>IF(ISNUMBER(D18/B18),D18/B18," - ")</f>
        <v>18</v>
      </c>
      <c r="F18" s="452">
        <f>IF(ISNUMBER(Datos!N18),Datos!N18," - ")</f>
        <v>41</v>
      </c>
      <c r="G18" s="453">
        <f>IF(ISNUMBER(F18/B18),F18/B18," - ")</f>
        <v>41</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119</v>
      </c>
      <c r="E23" s="1150">
        <f t="shared" si="3"/>
        <v>29.75</v>
      </c>
      <c r="F23" s="1149">
        <f>SUBTOTAL(9,F16:F22)</f>
        <v>488</v>
      </c>
      <c r="G23" s="1150">
        <f t="shared" si="4"/>
        <v>122</v>
      </c>
      <c r="H23" s="1149">
        <f>SUBTOTAL(9,H16:H22)</f>
        <v>18</v>
      </c>
      <c r="I23" s="1150">
        <f>IF(ISNUMBER(H23/B23),H23/B23," - ")</f>
        <v>4.5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3</v>
      </c>
      <c r="C31" s="1087">
        <f>Datos!AR31</f>
        <v>3</v>
      </c>
      <c r="D31" s="1087">
        <f>SUBTOTAL(9,D8:D30)</f>
        <v>311</v>
      </c>
      <c r="E31" s="1088">
        <f>IF(ISNUMBER(D31/B31),D31/B31," - ")</f>
        <v>103.66666666666667</v>
      </c>
      <c r="F31" s="1087">
        <f>SUBTOTAL(9,F8:F30)</f>
        <v>953</v>
      </c>
      <c r="G31" s="1088">
        <f>IF(ISNUMBER(F31/B31),F31/B31," - ")</f>
        <v>317.66666666666669</v>
      </c>
      <c r="H31" s="1087">
        <f>SUBTOTAL(9,H8:H30)</f>
        <v>256</v>
      </c>
      <c r="I31" s="1088">
        <f>IF(ISNUMBER(H31/B31),H31/B31," - ")</f>
        <v>85.333333333333329</v>
      </c>
    </row>
    <row r="34" spans="1:1">
      <c r="A34" s="440" t="str">
        <f>Criterios!A4</f>
        <v>Fecha Informe: 23 feb. 2022</v>
      </c>
    </row>
    <row r="39" spans="1:1">
      <c r="A39" s="463"/>
    </row>
  </sheetData>
  <sheetProtection algorithmName="SHA-512" hashValue="bKWZkeDJ6uGfRq4EmGx3k3rPOd2xfEBhmyGAowcFQJr12Oq+/R48vUFSSctiO3uFIu5RnSjHw+EBH/NrF3UhTw==" saltValue="RR/P0hn6RP8AHUNgJIFX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ARUCAS</v>
      </c>
    </row>
    <row r="5" spans="1:4" ht="12.75" customHeight="1">
      <c r="A5" s="1563" t="str">
        <f>"Año:  " &amp;Criterios!B5 &amp; "                  Trimestre   " &amp;Criterios!D5 &amp; " al " &amp;Criterios!D6</f>
        <v>Año:  2021                  Trimestre   4 al 4</v>
      </c>
      <c r="B5" s="1579" t="s">
        <v>15</v>
      </c>
      <c r="C5" s="1579" t="s">
        <v>19</v>
      </c>
      <c r="D5" s="1579" t="s">
        <v>177</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0</v>
      </c>
      <c r="C10" s="490">
        <f>IF(ISNUMBER(Datos!Q10),Datos!Q10," - ")</f>
        <v>0</v>
      </c>
      <c r="D10" s="457">
        <f>IF(ISNUMBER(Datos!R10),Datos!R10," - ")</f>
        <v>2</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149</v>
      </c>
      <c r="C12" s="490">
        <f>IF(ISNUMBER(Datos!Q12),Datos!Q12," - ")</f>
        <v>83</v>
      </c>
      <c r="D12" s="457">
        <f>IF(ISNUMBER(Datos!R12),Datos!R12," - ")</f>
        <v>3086</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149</v>
      </c>
      <c r="C14" s="1153">
        <f>SUBTOTAL(9,C9:C13)</f>
        <v>83</v>
      </c>
      <c r="D14" s="1151">
        <f>SUBTOTAL(9,D9:D13)</f>
        <v>3088</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31</v>
      </c>
      <c r="C17" s="490">
        <f>IF(ISNUMBER(Datos!Q17),Datos!Q17," - ")</f>
        <v>26</v>
      </c>
      <c r="D17" s="457">
        <f>IF(ISNUMBER(Datos!R17),Datos!R17," - ")</f>
        <v>134</v>
      </c>
    </row>
    <row r="18" spans="1:4">
      <c r="A18" s="451" t="str">
        <f>Datos!A18</f>
        <v>Jdos. Violencia contra la mujer</v>
      </c>
      <c r="B18" s="489">
        <f>IF(ISNUMBER(Datos!P18),Datos!P18," - ")</f>
        <v>7</v>
      </c>
      <c r="C18" s="490">
        <f>IF(ISNUMBER(Datos!Q18),Datos!Q18," - ")</f>
        <v>3</v>
      </c>
      <c r="D18" s="457">
        <f>IF(ISNUMBER(Datos!R18),Datos!R18," - ")</f>
        <v>16</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38</v>
      </c>
      <c r="C23" s="1153">
        <f>SUBTOTAL(9,C16:C22)</f>
        <v>29</v>
      </c>
      <c r="D23" s="1151">
        <f>SUBTOTAL(9,D16:D22)</f>
        <v>150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187</v>
      </c>
      <c r="C31" s="1092">
        <f>SUBTOTAL(9,C8:C30)</f>
        <v>112</v>
      </c>
      <c r="D31" s="1093">
        <f>SUBTOTAL(9,D8:D30)</f>
        <v>3238</v>
      </c>
    </row>
    <row r="32" spans="1:4" ht="7.5" customHeight="1"/>
    <row r="33" spans="1:1" ht="6" customHeight="1"/>
    <row r="34" spans="1:1">
      <c r="A34" s="440" t="str">
        <f>Criterios!A4</f>
        <v>Fecha Informe: 23 feb. 2022</v>
      </c>
    </row>
    <row r="39" spans="1:1">
      <c r="A39" s="463"/>
    </row>
  </sheetData>
  <sheetProtection algorithmName="SHA-512" hashValue="HlrWtxMbOzFL3iqrWjol8yoZhJSktU/6Yn6Zz6cuAhkO8SeQXw362LV1gPezjmoPG/yxoXDSDzfzVVcV6JpfnQ==" saltValue="0F5ybwWkw41izubI1UbL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ARUCAS</v>
      </c>
    </row>
    <row r="5" spans="1:11" ht="12.75" customHeight="1">
      <c r="A5" s="1563" t="str">
        <f>"Año:  " &amp;Criterios!B5 &amp; "    Trimestre   " &amp;Criterios!D5 &amp; " al " &amp;Criterios!D6</f>
        <v>Año:  2021    Trimestre   4 al 4</v>
      </c>
      <c r="B5" s="1597" t="s">
        <v>176</v>
      </c>
      <c r="C5" s="1560" t="s">
        <v>18</v>
      </c>
      <c r="D5" s="1544" t="s">
        <v>14</v>
      </c>
      <c r="E5" s="1544" t="s">
        <v>177</v>
      </c>
      <c r="F5" s="1560" t="s">
        <v>12</v>
      </c>
      <c r="G5" s="1584" t="s">
        <v>13</v>
      </c>
      <c r="H5" s="1577" t="s">
        <v>166</v>
      </c>
      <c r="I5" s="1589" t="s">
        <v>167</v>
      </c>
      <c r="J5" s="1592" t="s">
        <v>168</v>
      </c>
      <c r="K5" s="1557" t="s">
        <v>169</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-0.60869565217391308</v>
      </c>
      <c r="C10" s="516">
        <f>IF(ISNUMBER((Datos!J10-Datos!T10)/Datos!T10),(Datos!J10-Datos!T10)/Datos!T10," - ")</f>
        <v>0.5</v>
      </c>
      <c r="D10" s="516" t="str">
        <f>IF(ISNUMBER((Datos!K10-Datos!U10)/Datos!U10),(Datos!K10-Datos!U10)/Datos!U10," - ")</f>
        <v xml:space="preserve"> - </v>
      </c>
      <c r="E10" s="516">
        <f>IF(ISNUMBER((Datos!L10-Datos!V10)/Datos!V10),(Datos!L10-Datos!V10)/Datos!V10," - ")</f>
        <v>-0.56000000000000005</v>
      </c>
      <c r="F10" s="516" t="str">
        <f>IF(ISNUMBER((Datos!M10-Datos!W10)/Datos!W10),(Datos!M10-Datos!W10)/Datos!W10," - ")</f>
        <v xml:space="preserve"> - </v>
      </c>
      <c r="G10" s="517" t="str">
        <f>IF(ISNUMBER((Datos!N10-Datos!X10)/Datos!X10),(Datos!N10-Datos!X10)/Datos!X10," - ")</f>
        <v xml:space="preserve"> - </v>
      </c>
      <c r="H10" s="515" t="str">
        <f>IF(ISNUMBER(((NºAsuntos!G10/NºAsuntos!E10)-Datos!BD10)/Datos!BD10),((NºAsuntos!G10/NºAsuntos!E10)-Datos!BD10)/Datos!BD10," - ")</f>
        <v xml:space="preserve"> - </v>
      </c>
      <c r="I10" s="516" t="str">
        <f>IF(ISNUMBER(((NºAsuntos!I10/NºAsuntos!G10)-Datos!BE10)/Datos!BE10),((NºAsuntos!I10/NºAsuntos!G10)-Datos!BE10)/Datos!BE10," - ")</f>
        <v xml:space="preserve"> - </v>
      </c>
      <c r="J10" s="522" t="str">
        <f>IF(ISNUMBER((('Resol  Asuntos'!D10/NºAsuntos!G10)-Datos!BF10)/Datos!BF10),(('Resol  Asuntos'!D10/NºAsuntos!G10)-Datos!BF10)/Datos!BF10," - ")</f>
        <v xml:space="preserve"> - </v>
      </c>
      <c r="K10" s="523" t="str">
        <f>IF(ISNUMBER((((NºAsuntos!C10+NºAsuntos!E10)/NºAsuntos!G10)-Datos!BG10)/Datos!BG10),(((NºAsuntos!C10+NºAsuntos!E10)/NºAsuntos!G10)-Datos!BG10)/Datos!BG10," - ")</f>
        <v xml:space="preserve"> - </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-8.5250338294993233E-2</v>
      </c>
      <c r="C12" s="516">
        <f>IF(ISNUMBER(
   IF(J_V="SI",(Datos!J12-Datos!T12)/Datos!T12,(Datos!J12+Datos!Z12-(Datos!T12+Datos!AH12))/(Datos!T12+Datos!AH12))
     ),IF(J_V="SI",(Datos!J12-Datos!T12)/Datos!T12,(Datos!J12+Datos!Z12-(Datos!T12+Datos!AH12))/(Datos!T12+Datos!AH12))," - ")</f>
        <v>0.33518776077885953</v>
      </c>
      <c r="D12" s="516">
        <f>IF(ISNUMBER(
   IF(J_V="SI",(Datos!K12-Datos!U12)/Datos!U12,(Datos!K12+Datos!AA12-(Datos!U12+Datos!AI12))/(Datos!U12+Datos!AI12))
     ),IF(J_V="SI",(Datos!K12-Datos!U12)/Datos!U12,(Datos!K12+Datos!AA12-(Datos!U12+Datos!AI12))/(Datos!U12+Datos!AI12))," - ")</f>
        <v>2.7742749054224466E-2</v>
      </c>
      <c r="E12" s="516">
        <f>IF(ISNUMBER(
   IF(J_V="SI",(Datos!L12-Datos!V12)/Datos!V12,(Datos!L12+Datos!AB12-(Datos!V12+Datos!AJ12))/(Datos!V12+Datos!AJ12))
     ),IF(J_V="SI",(Datos!L12-Datos!V12)/Datos!V12,(Datos!L12+Datos!AB12-(Datos!V12+Datos!AJ12))/(Datos!V12+Datos!AJ12))," - ")</f>
        <v>6.623931623931624E-2</v>
      </c>
      <c r="F12" s="516">
        <f>IF(ISNUMBER((Datos!M12-Datos!W12)/Datos!W12),(Datos!M12-Datos!W12)/Datos!W12," - ")</f>
        <v>0.25657894736842107</v>
      </c>
      <c r="G12" s="517">
        <f>IF(ISNUMBER((Datos!N12-Datos!X12)/Datos!X12),(Datos!N12-Datos!X12)/Datos!X12," - ")</f>
        <v>0.23670212765957446</v>
      </c>
      <c r="H12" s="515">
        <f>IF(ISNUMBER(((NºAsuntos!G12/NºAsuntos!E12)-Datos!BD12)/Datos!BD12),((NºAsuntos!G12/NºAsuntos!E12)-Datos!BD12)/Datos!BD12," - ")</f>
        <v>-0.23026350357292977</v>
      </c>
      <c r="I12" s="516">
        <f>IF(ISNUMBER(((NºAsuntos!I12/NºAsuntos!G12)-Datos!BE12)/Datos!BE12),((NºAsuntos!I12/NºAsuntos!G12)-Datos!BE12)/Datos!BE12," - ")</f>
        <v>3.7457396046353154E-2</v>
      </c>
      <c r="J12" s="522">
        <f>IF(ISNUMBER((('Resol  Asuntos'!D12/NºAsuntos!G12)-Datos!BF12)/Datos!BF12),(('Resol  Asuntos'!D12/NºAsuntos!G12)-Datos!BF12)/Datos!BF12," - ")</f>
        <v>-0.50573358569377369</v>
      </c>
      <c r="K12" s="523">
        <f>IF(ISNUMBER((((NºAsuntos!C12+NºAsuntos!E12)/NºAsuntos!G12)-Datos!BG12)/Datos!BG12),(((NºAsuntos!C12+NºAsuntos!E12)/NºAsuntos!G12)-Datos!BG12)/Datos!BG12," - ")</f>
        <v>2.3937270846190097E-2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-9.3271152564956689E-2</v>
      </c>
      <c r="C14" s="1155">
        <f>IF(ISNUMBER(
   IF(J_V="SI",(Datos!J14-Datos!T14)/Datos!T14,(Datos!J14+Datos!Z14-(Datos!T14+Datos!AH14))/(Datos!T14+Datos!AH14))
     ),IF(J_V="SI",(Datos!J14-Datos!T14)/Datos!T14,(Datos!J14+Datos!Z14-(Datos!T14+Datos!AH14))/(Datos!T14+Datos!AH14))," - ")</f>
        <v>0.33564493758668518</v>
      </c>
      <c r="D14" s="1155">
        <f>IF(ISNUMBER(
   IF(J_V="SI",(Datos!K14-Datos!U14)/Datos!U14,(Datos!K14+Datos!AA14-(Datos!U14+Datos!AI14))/(Datos!U14+Datos!AI14))
     ),IF(J_V="SI",(Datos!K14-Datos!U14)/Datos!U14,(Datos!K14+Datos!AA14-(Datos!U14+Datos!AI14))/(Datos!U14+Datos!AI14))," - ")</f>
        <v>2.9003783102143757E-2</v>
      </c>
      <c r="E14" s="1155">
        <f>IF(ISNUMBER(
   IF(J_V="SI",(Datos!L14-Datos!V14)/Datos!V14,(Datos!L14+Datos!AB14-(Datos!V14+Datos!AJ14))/(Datos!V14+Datos!AJ14))
     ),IF(J_V="SI",(Datos!L14-Datos!V14)/Datos!V14,(Datos!L14+Datos!AB14-(Datos!V14+Datos!AJ14))/(Datos!V14+Datos!AJ14))," - ")</f>
        <v>5.5283414975507345E-2</v>
      </c>
      <c r="F14" s="1156">
        <f>IF(ISNUMBER((Datos!M14-Datos!W14)/Datos!W14),(Datos!M14-Datos!W14)/Datos!W14," - ")</f>
        <v>0.26315789473684209</v>
      </c>
      <c r="G14" s="1157">
        <f>IF(ISNUMBER((Datos!N14-Datos!X14)/Datos!X14),(Datos!N14-Datos!X14)/Datos!X14," - ")</f>
        <v>0.23670212765957446</v>
      </c>
      <c r="H14" s="1157">
        <f>IF(ISNUMBER(((NºAsuntos!G14/NºAsuntos!E14)-Datos!BD14)/Datos!BD14),((NºAsuntos!G14/NºAsuntos!E14)-Datos!BD14)/Datos!BD14," - ")</f>
        <v>-0.22958283736589236</v>
      </c>
      <c r="I14" s="1157">
        <f>IF(ISNUMBER(((NºAsuntos!I14/NºAsuntos!G14)-Datos!BE14)/Datos!BE14),((NºAsuntos!I14/NºAsuntos!G14)-Datos!BE14)/Datos!BE14," - ")</f>
        <v>2.5538906955364444E-2</v>
      </c>
      <c r="J14" s="1157">
        <f>IF(ISNUMBER((('Resol  Asuntos'!D14/NºAsuntos!G14)-Datos!BF14)/Datos!BF14),(('Resol  Asuntos'!D14/NºAsuntos!G14)-Datos!BF14)/Datos!BF14," - ")</f>
        <v>-0.50375469336670842</v>
      </c>
      <c r="K14" s="1157">
        <f>IF(ISNUMBER((((NºAsuntos!C14+NºAsuntos!E14)/NºAsuntos!G14)-Datos!BG14)/Datos!BG14),(((NºAsuntos!C14+NºAsuntos!E14)/NºAsuntos!G14)-Datos!BG14)/Datos!BG14," - ")</f>
        <v>1.6424436561303234E-2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-0.15463917525773196</v>
      </c>
      <c r="C17" s="516">
        <f>IF(ISNUMBER(
   IF(D_I="SI",(Datos!J17-Datos!T17)/Datos!T17,(Datos!J17+Datos!AD17-(Datos!T17+Datos!AL17))/(Datos!T17+Datos!AL17))
     ),IF(D_I="SI",(Datos!J17-Datos!T17)/Datos!T17,(Datos!J17+Datos!AD17-(Datos!T17+Datos!AL17))/(Datos!T17+Datos!AL17))," - ")</f>
        <v>-5.6358381502890173E-2</v>
      </c>
      <c r="D17" s="516">
        <f>IF(ISNUMBER(
   IF(D_I="SI",(Datos!K17-Datos!U17)/Datos!U17,(Datos!K17+Datos!AE17-(Datos!U17+Datos!AM17))/(Datos!U17+Datos!AM17))
     ),IF(D_I="SI",(Datos!K17-Datos!U17)/Datos!U17,(Datos!K17+Datos!AE17-(Datos!U17+Datos!AM17))/(Datos!U17+Datos!AM17))," - ")</f>
        <v>-9.1511936339522551E-2</v>
      </c>
      <c r="E17" s="516">
        <f>IF(ISNUMBER(
   IF(D_I="SI",(Datos!L17-Datos!V17)/Datos!V17,(Datos!L17+Datos!AF17-(Datos!V17+Datos!AN17))/(Datos!V17+Datos!AN17))
     ),IF(D_I="SI",(Datos!L17-Datos!V17)/Datos!V17,(Datos!L17+Datos!AF17-(Datos!V17+Datos!AN17))/(Datos!V17+Datos!AN17))," - ")</f>
        <v>-0.12155591572123177</v>
      </c>
      <c r="F17" s="516">
        <f>IF(ISNUMBER((Datos!M17-Datos!W17)/Datos!W17),(Datos!M17-Datos!W17)/Datos!W17," - ")</f>
        <v>-0.25735294117647056</v>
      </c>
      <c r="G17" s="517">
        <f>IF(ISNUMBER((Datos!N17-Datos!X17)/Datos!X17),(Datos!N17-Datos!X17)/Datos!X17," - ")</f>
        <v>-0.15819209039548024</v>
      </c>
      <c r="H17" s="515">
        <f>IF(ISNUMBER(((NºAsuntos!G17/NºAsuntos!E17)-Datos!BD17)/Datos!BD17),((NºAsuntos!G17/NºAsuntos!E17)-Datos!BD17)/Datos!BD17," - ")</f>
        <v>-3.7253078019830951E-2</v>
      </c>
      <c r="I17" s="516">
        <f>IF(ISNUMBER(((NºAsuntos!I17/NºAsuntos!G17)-Datos!BE17)/Datos!BE17),((NºAsuntos!I17/NºAsuntos!G17)-Datos!BE17)/Datos!BE17," - ")</f>
        <v>-3.3070307231837563E-2</v>
      </c>
      <c r="J17" s="522">
        <f>IF(ISNUMBER((('Resol  Asuntos'!D17/NºAsuntos!G17)-Datos!BF17)/Datos!BF17),(('Resol  Asuntos'!D17/NºAsuntos!G17)-Datos!BF17)/Datos!BF17," - ")</f>
        <v>-0.18254615714899092</v>
      </c>
      <c r="K17" s="523">
        <f>IF(ISNUMBER((((NºAsuntos!C17+NºAsuntos!E17)/NºAsuntos!G17)-Datos!BG17)/Datos!BG17),(((NºAsuntos!C17+NºAsuntos!E17)/NºAsuntos!G17)-Datos!BG17)/Datos!BG17," - ")</f>
        <v>-1.4882844319506768E-2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2</v>
      </c>
      <c r="C18" s="516">
        <f>IF(ISNUMBER(
   IF(D_I="SI",(Datos!J18-Datos!T18)/Datos!T18,(Datos!J18+Datos!AD18-(Datos!T18+Datos!AL18))/(Datos!T18+Datos!AL18))
     ),IF(D_I="SI",(Datos!J18-Datos!T18)/Datos!T18,(Datos!J18+Datos!AD18-(Datos!T18+Datos!AL18))/(Datos!T18+Datos!AL18))," - ")</f>
        <v>0.2</v>
      </c>
      <c r="D18" s="516">
        <f>IF(ISNUMBER(
   IF(D_I="SI",(Datos!K18-Datos!U18)/Datos!U18,(Datos!K18+Datos!AE18-(Datos!U18+Datos!AM18))/(Datos!U18+Datos!AM18))
     ),IF(D_I="SI",(Datos!K18-Datos!U18)/Datos!U18,(Datos!K18+Datos!AE18-(Datos!U18+Datos!AM18))/(Datos!U18+Datos!AM18))," - ")</f>
        <v>-3.5087719298245612E-2</v>
      </c>
      <c r="E18" s="516">
        <f>IF(ISNUMBER(
   IF(D_I="SI",(Datos!L18-Datos!V18)/Datos!V18,(Datos!L18+Datos!AF18-(Datos!V18+Datos!AN18))/(Datos!V18+Datos!AN18))
     ),IF(D_I="SI",(Datos!L18-Datos!V18)/Datos!V18,(Datos!L18+Datos!AF18-(Datos!V18+Datos!AN18))/(Datos!V18+Datos!AN18))," - ")</f>
        <v>7.2</v>
      </c>
      <c r="F18" s="516">
        <f>IF(ISNUMBER((Datos!M18-Datos!W18)/Datos!W18),(Datos!M18-Datos!W18)/Datos!W18," - ")</f>
        <v>5.8823529411764705E-2</v>
      </c>
      <c r="G18" s="517">
        <f>IF(ISNUMBER((Datos!N18-Datos!X18)/Datos!X18),(Datos!N18-Datos!X18)/Datos!X18," - ")</f>
        <v>-0.10869565217391304</v>
      </c>
      <c r="H18" s="515">
        <f>IF(ISNUMBER(((NºAsuntos!G18/NºAsuntos!E18)-Datos!BD18)/Datos!BD18),((NºAsuntos!G18/NºAsuntos!E18)-Datos!BD18)/Datos!BD18," - ")</f>
        <v>-0.19590643274853797</v>
      </c>
      <c r="I18" s="516">
        <f>IF(ISNUMBER(((NºAsuntos!I18/NºAsuntos!G18)-Datos!BE18)/Datos!BE18),((NºAsuntos!I18/NºAsuntos!G18)-Datos!BE18)/Datos!BE18," - ")</f>
        <v>7.4981818181818198</v>
      </c>
      <c r="J18" s="522">
        <f>IF(ISNUMBER((('Resol  Asuntos'!D18/NºAsuntos!G18)-Datos!BF18)/Datos!BF18),(('Resol  Asuntos'!D18/NºAsuntos!G18)-Datos!BF18)/Datos!BF18," - ")</f>
        <v>9.73262032085562E-2</v>
      </c>
      <c r="K18" s="523">
        <f>IF(ISNUMBER((((NºAsuntos!C18+NºAsuntos!E18)/NºAsuntos!G18)-Datos!BG18)/Datos!BG18),(((NºAsuntos!C18+NºAsuntos!E18)/NºAsuntos!G18)-Datos!BG18)/Datos!BG18," - ")</f>
        <v>0.60469208211143677</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-0.11722141823444283</v>
      </c>
      <c r="C23" s="1155">
        <f>IF(ISNUMBER(
   IF(Criterios!B14="SI",(Datos!J23-Datos!T23)/Datos!T23,(Datos!J23+Datos!AD23-(Datos!T23+Datos!AL23))/(Datos!T23+Datos!AL23))
     ),IF(Criterios!B14="SI",(Datos!J23-Datos!T23)/Datos!T23,(Datos!J23+Datos!AD23-(Datos!T23+Datos!AL23))/(Datos!T23+Datos!AL23))," - ")</f>
        <v>-3.9083557951482481E-2</v>
      </c>
      <c r="D23" s="1155">
        <f>IF(ISNUMBER(
   IF(Criterios!B14="SI",(Datos!K23-Datos!U23)/Datos!U23,(Datos!K23+Datos!AE23-(Datos!U23+Datos!AM23))/(Datos!U23+Datos!AM23))
     ),IF(Criterios!B14="SI",(Datos!K23-Datos!U23)/Datos!U23,(Datos!K23+Datos!AE23-(Datos!U23+Datos!AM23))/(Datos!U23+Datos!AM23))," - ")</f>
        <v>-8.7546239210850807E-2</v>
      </c>
      <c r="E23" s="1155">
        <f>IF(ISNUMBER(
   IF(Criterios!B14="SI",(Datos!L23-Datos!V23)/Datos!V23,(Datos!L23+Datos!AF23-(Datos!V23+Datos!AN23))/(Datos!V23+Datos!AN23))
     ),IF(Criterios!B14="SI",(Datos!L23-Datos!V23)/Datos!V23,(Datos!L23+Datos!AF23-(Datos!V23+Datos!AN23))/(Datos!V23+Datos!AN23))," - ")</f>
        <v>-6.2700964630225078E-2</v>
      </c>
      <c r="F23" s="1156">
        <f>IF(ISNUMBER((Datos!M23-Datos!W23)/Datos!W23),(Datos!M23-Datos!W23)/Datos!W23," - ")</f>
        <v>-0.22222222222222221</v>
      </c>
      <c r="G23" s="1157">
        <f>IF(ISNUMBER((Datos!N23-Datos!X23)/Datos!X23),(Datos!N23-Datos!X23)/Datos!X23," - ")</f>
        <v>-0.15424610051993068</v>
      </c>
      <c r="H23" s="1157">
        <f>IF(ISNUMBER(((NºAsuntos!G23/NºAsuntos!E23)-Datos!BD23)/Datos!BD23),((NºAsuntos!G23/NºAsuntos!E23)-Datos!BD23)/Datos!BD23," - ")</f>
        <v>-5.0433814157715535E-2</v>
      </c>
      <c r="I23" s="1157">
        <f>IF(ISNUMBER(((NºAsuntos!I23/NºAsuntos!G23)-Datos!BE23)/Datos!BE23),((NºAsuntos!I23/NºAsuntos!G23)-Datos!BE23)/Datos!BE23," - ")</f>
        <v>2.7229077952550491E-2</v>
      </c>
      <c r="J23" s="1157">
        <f>IF(ISNUMBER((('Resol  Asuntos'!D23/NºAsuntos!G23)-Datos!BF23)/Datos!BF23),(('Resol  Asuntos'!D23/NºAsuntos!G23)-Datos!BF23)/Datos!BF23," - ")</f>
        <v>-0.14759759759759761</v>
      </c>
      <c r="K23" s="1157">
        <f>IF(ISNUMBER((((NºAsuntos!C23+NºAsuntos!E23)/NºAsuntos!G23)-Datos!BG23)/Datos!BG23),(((NºAsuntos!C23+NºAsuntos!E23)/NºAsuntos!G23)-Datos!BG23)/Datos!BG23," - ")</f>
        <v>1.1818901944512621E-2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-0.10082116788321167</v>
      </c>
      <c r="C31" s="1095">
        <f>IF(ISNUMBER(
   IF(J_V="SI",(Datos!J31-Datos!T31)/Datos!T31,(Datos!J31+Datos!Z31-(Datos!T31+Datos!AH31))/(Datos!T31+Datos!AH31))
     ),IF(J_V="SI",(Datos!J31-Datos!T31)/Datos!T31,(Datos!J31+Datos!Z31-(Datos!T31+Datos!AH31))/(Datos!T31+Datos!AH31))," - ")</f>
        <v>0.14559125085440874</v>
      </c>
      <c r="D31" s="1095">
        <f>IF(ISNUMBER(
   IF(J_V="SI",(Datos!K31-Datos!U31)/Datos!U31,(Datos!K31+Datos!AA31-(Datos!U31+Datos!AI31))/(Datos!U31+Datos!AI31))
     ),IF(J_V="SI",(Datos!K31-Datos!U31)/Datos!U31,(Datos!K31+Datos!AA31-(Datos!U31+Datos!AI31))/(Datos!U31+Datos!AI31))," - ")</f>
        <v>-2.9925187032418952E-2</v>
      </c>
      <c r="E31" s="1095">
        <f>IF(ISNUMBER(
   IF(J_V="SI",(Datos!L31-Datos!V31)/Datos!V31,(Datos!L31+Datos!AB31-(Datos!V31+Datos!AJ31))/(Datos!V31+Datos!AJ31))
     ),IF(J_V="SI",(Datos!L31-Datos!V31)/Datos!V31,(Datos!L31+Datos!AB31-(Datos!V31+Datos!AJ31))/(Datos!V31+Datos!AJ31))," - ")</f>
        <v>1.9502681618722574E-2</v>
      </c>
      <c r="F31" s="1096">
        <f>IF(ISNUMBER((Datos!M31-Datos!W31)/Datos!W31),(Datos!M31-Datos!W31)/Datos!W31," - ")</f>
        <v>1.9672131147540985E-2</v>
      </c>
      <c r="G31" s="1097">
        <f>IF(ISNUMBER((Datos!N31-Datos!X31)/Datos!X31),(Datos!N31-Datos!X31)/Datos!X31," - ")</f>
        <v>0</v>
      </c>
      <c r="H31" s="1098">
        <f>IF(ISNUMBER((Tasas!B31-Datos!BD31)/Datos!BD31),(Tasas!B31-Datos!BD31)/Datos!BD31," - ")</f>
        <v>-0.15321035121027982</v>
      </c>
      <c r="I31" s="1099">
        <f>IF(ISNUMBER((Tasas!C31-Datos!BE31)/Datos!BE31),(Tasas!C31-Datos!BE31)/Datos!BE31," - ")</f>
        <v>5.0952635807474986E-2</v>
      </c>
      <c r="J31" s="1100">
        <f>IF(ISNUMBER((Tasas!D31-Datos!BF31)/Datos!BF31),(Tasas!D31-Datos!BF31)/Datos!BF31," - ")</f>
        <v>-0.39396251354595424</v>
      </c>
      <c r="K31" s="1100">
        <f>IF(ISNUMBER((Tasas!E31-Datos!BG31)/Datos!BG31),(Tasas!E31-Datos!BG31)/Datos!BG31," - ")</f>
        <v>2.8592026276643378E-2</v>
      </c>
    </row>
    <row r="32" spans="1:11">
      <c r="A32" s="460"/>
      <c r="B32" s="460"/>
      <c r="C32" s="460"/>
      <c r="D32" s="460"/>
      <c r="E32" s="460"/>
    </row>
    <row r="33" spans="1:12" ht="70.5" customHeight="1">
      <c r="A33" s="1583" t="s">
        <v>205</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VqvtiBCSQ3AMXzkg7ek93E+BoE9Ye10jQV1uyNQVxETnNtLDYKsgWb4ZGQO6OQbfqIFjlS9p2TL5VJd3EpT9lA==" saltValue="RHNLF0rs5xcPJIvbQp96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ARUCAS</v>
      </c>
    </row>
    <row r="5" spans="1:7" ht="12.75" customHeight="1">
      <c r="A5" s="1563" t="str">
        <f>"Año:  " &amp;Criterios!B5 &amp; "    Trimestre   " &amp;Criterios!D5 &amp; " al " &amp;Criterios!D6</f>
        <v>Año:  2021    Trimestre   4 al 4</v>
      </c>
      <c r="B5" s="1557" t="s">
        <v>129</v>
      </c>
      <c r="C5" s="1557" t="s">
        <v>130</v>
      </c>
      <c r="D5" s="1557" t="s">
        <v>131</v>
      </c>
      <c r="E5" s="1557" t="s">
        <v>132</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0.33333333333333331</v>
      </c>
      <c r="C10" s="499">
        <f>IF(ISNUMBER(NºAsuntos!I10/NºAsuntos!G10),NºAsuntos!I10/NºAsuntos!G10," - ")</f>
        <v>11</v>
      </c>
      <c r="D10" s="500">
        <f>IF(ISNUMBER('Resol  Asuntos'!D10/NºAsuntos!G10),'Resol  Asuntos'!D10/NºAsuntos!G10," - ")</f>
        <v>1</v>
      </c>
      <c r="E10" s="501">
        <f>IF(ISNUMBER((NºAsuntos!C10+NºAsuntos!E10)/NºAsuntos!G10),(NºAsuntos!C10+NºAsuntos!E10)/NºAsuntos!G10," - ")</f>
        <v>12</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0.84895833333333337</v>
      </c>
      <c r="C12" s="499">
        <f>IF(ISNUMBER(NºAsuntos!I12/NºAsuntos!G12),NºAsuntos!I12/NºAsuntos!G12," - ")</f>
        <v>1.8368098159509203</v>
      </c>
      <c r="D12" s="500">
        <f>IF(ISNUMBER('Resol  Asuntos'!D12/NºAsuntos!G12),'Resol  Asuntos'!D12/NºAsuntos!G12," - ")</f>
        <v>0.2343558282208589</v>
      </c>
      <c r="E12" s="501">
        <f>IF(ISNUMBER((NºAsuntos!C12+NºAsuntos!E12)/NºAsuntos!G12),(NºAsuntos!C12+NºAsuntos!E12)/NºAsuntos!G12," - ")</f>
        <v>2.8368098159509203</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0.84735202492211836</v>
      </c>
      <c r="C14" s="1159">
        <f>IF(ISNUMBER(NºAsuntos!I14/NºAsuntos!G14),NºAsuntos!I14/NºAsuntos!G14," - ")</f>
        <v>1.8480392156862746</v>
      </c>
      <c r="D14" s="1160">
        <f>IF(ISNUMBER('Resol  Asuntos'!D14/NºAsuntos!G14),'Resol  Asuntos'!D14/NºAsuntos!G14," - ")</f>
        <v>0.23529411764705882</v>
      </c>
      <c r="E14" s="1161">
        <f>IF(ISNUMBER((NºAsuntos!C14+NºAsuntos!E14)/NºAsuntos!G14),(NºAsuntos!C14+NºAsuntos!E14)/NºAsuntos!G14," - ")</f>
        <v>2.8480392156862746</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1.0490045941807045</v>
      </c>
      <c r="C17" s="499">
        <f>IF(ISNUMBER(NºAsuntos!I17/NºAsuntos!G17),NºAsuntos!I17/NºAsuntos!G17," - ")</f>
        <v>0.79124087591240877</v>
      </c>
      <c r="D17" s="500">
        <f>IF(ISNUMBER('Resol  Asuntos'!D17/NºAsuntos!G17),'Resol  Asuntos'!D17/NºAsuntos!G17," - ")</f>
        <v>0.14744525547445256</v>
      </c>
      <c r="E17" s="501">
        <f>IF(ISNUMBER((NºAsuntos!C17+NºAsuntos!E17)/NºAsuntos!G17),(NºAsuntos!C17+NºAsuntos!E17)/NºAsuntos!G17," - ")</f>
        <v>1.7912408759124088</v>
      </c>
      <c r="G17" s="524"/>
    </row>
    <row r="18" spans="1:7">
      <c r="A18" s="451" t="str">
        <f>Datos!A18</f>
        <v>Jdos. Violencia contra la mujer</v>
      </c>
      <c r="B18" s="498">
        <f>IF(ISNUMBER(NºAsuntos!G18/NºAsuntos!E18),NºAsuntos!G18/NºAsuntos!E18," - ")</f>
        <v>0.91666666666666663</v>
      </c>
      <c r="C18" s="499">
        <f>IF(ISNUMBER(NºAsuntos!I18/NºAsuntos!G18),NºAsuntos!I18/NºAsuntos!G18," - ")</f>
        <v>0.74545454545454548</v>
      </c>
      <c r="D18" s="500">
        <f>IF(ISNUMBER('Resol  Asuntos'!D18/NºAsuntos!G18),'Resol  Asuntos'!D18/NºAsuntos!G18," - ")</f>
        <v>0.32727272727272727</v>
      </c>
      <c r="E18" s="501">
        <f>IF(ISNUMBER((NºAsuntos!C18+NºAsuntos!E18)/NºAsuntos!G18),(NºAsuntos!C18+NºAsuntos!E18)/NºAsuntos!G18," - ")</f>
        <v>1.7454545454545454</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1.0378681626928472</v>
      </c>
      <c r="C23" s="1159">
        <f>IF(ISNUMBER(NºAsuntos!I23/NºAsuntos!G23),NºAsuntos!I23/NºAsuntos!G23," - ")</f>
        <v>0.78783783783783778</v>
      </c>
      <c r="D23" s="1162">
        <f>IF(ISNUMBER('Resol  Asuntos'!D23/NºAsuntos!G23),'Resol  Asuntos'!D23/NºAsuntos!G23," - ")</f>
        <v>0.16081081081081081</v>
      </c>
      <c r="E23" s="1161">
        <f>IF(ISNUMBER((NºAsuntos!C23+NºAsuntos!E23)/NºAsuntos!G23),(NºAsuntos!C23+NºAsuntos!E23)/NºAsuntos!G23," - ")</f>
        <v>1.7878378378378379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0.9284009546539379</v>
      </c>
      <c r="C31" s="1102">
        <f>IF(ISNUMBER(NºAsuntos!I31/NºAsuntos!G31),NºAsuntos!I31/NºAsuntos!G31," - ")</f>
        <v>1.3438303341902313</v>
      </c>
      <c r="D31" s="1103">
        <f>IF(ISNUMBER('Resol  Asuntos'!D31/NºAsuntos!G31),'Resol  Asuntos'!D31/NºAsuntos!G31," - ")</f>
        <v>0.19987146529562982</v>
      </c>
      <c r="E31" s="1104">
        <f>IF(ISNUMBER((NºAsuntos!C31+NºAsuntos!E31)/NºAsuntos!G31),(NºAsuntos!C31+NºAsuntos!E31)/NºAsuntos!G31," - ")</f>
        <v>2.3438303341902316</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2NDHFn2AxOWWrugzzRUM3P2z54Lt43liJG/MkQ8AC/tXwCDzyFD26/ylGKJsFXAJ5nF2/c/VoZnOfnFRSDmkiA==" saltValue="uxZ+RGv2KJ940ztBoBPh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469</v>
      </c>
      <c r="B5" s="297"/>
      <c r="C5" s="1643" t="str">
        <f>"Año:  " &amp;Criterios!B$5 &amp; "          Trimestre   " &amp;Criterios!D$5 &amp; " al " &amp;Criterios!D$6</f>
        <v>Año:  2021          Trimestre   4 al 4</v>
      </c>
      <c r="D5" s="1600" t="s">
        <v>495</v>
      </c>
      <c r="E5" s="1600" t="s">
        <v>417</v>
      </c>
      <c r="F5" s="1645" t="s">
        <v>531</v>
      </c>
      <c r="G5" s="1648" t="s">
        <v>176</v>
      </c>
      <c r="H5" s="1607" t="s">
        <v>224</v>
      </c>
      <c r="I5" s="1607" t="s">
        <v>228</v>
      </c>
      <c r="J5" s="1607" t="s">
        <v>229</v>
      </c>
      <c r="K5" s="1607" t="s">
        <v>532</v>
      </c>
      <c r="L5" s="1607" t="s">
        <v>790</v>
      </c>
      <c r="M5" s="1607" t="s">
        <v>423</v>
      </c>
      <c r="N5" s="1607" t="s">
        <v>496</v>
      </c>
      <c r="O5" s="1607" t="s">
        <v>534</v>
      </c>
      <c r="P5" s="1607" t="s">
        <v>227</v>
      </c>
      <c r="Q5" s="1607" t="s">
        <v>59</v>
      </c>
      <c r="R5" s="1619" t="s">
        <v>230</v>
      </c>
      <c r="S5" s="1622" t="s">
        <v>233</v>
      </c>
      <c r="T5" s="1613" t="s">
        <v>234</v>
      </c>
      <c r="U5" s="1610" t="s">
        <v>235</v>
      </c>
      <c r="V5" s="1634" t="s">
        <v>421</v>
      </c>
      <c r="W5" s="1651" t="s">
        <v>236</v>
      </c>
      <c r="X5" s="1654" t="s">
        <v>237</v>
      </c>
      <c r="Y5" s="1654" t="s">
        <v>238</v>
      </c>
      <c r="Z5" s="1637" t="s">
        <v>239</v>
      </c>
      <c r="AA5" s="1625" t="s">
        <v>240</v>
      </c>
      <c r="AB5" s="1607" t="s">
        <v>241</v>
      </c>
      <c r="AC5" s="1607" t="s">
        <v>242</v>
      </c>
      <c r="AD5" s="1657" t="s">
        <v>243</v>
      </c>
      <c r="AE5" s="1600" t="s">
        <v>246</v>
      </c>
      <c r="AF5" s="1628" t="s">
        <v>244</v>
      </c>
      <c r="AG5" s="1607" t="s">
        <v>245</v>
      </c>
      <c r="AH5" s="1619" t="s">
        <v>264</v>
      </c>
      <c r="AI5" s="1625" t="s">
        <v>247</v>
      </c>
      <c r="AJ5" s="1631" t="s">
        <v>325</v>
      </c>
      <c r="AK5" s="1616" t="s">
        <v>326</v>
      </c>
      <c r="AL5" s="1600" t="s">
        <v>327</v>
      </c>
      <c r="AM5" s="1600" t="s">
        <v>477</v>
      </c>
      <c r="AN5" s="1600" t="s">
        <v>328</v>
      </c>
      <c r="AO5" s="1600" t="s">
        <v>329</v>
      </c>
      <c r="AP5" s="1600" t="s">
        <v>390</v>
      </c>
      <c r="AQ5" s="1600" t="s">
        <v>248</v>
      </c>
      <c r="AR5" s="1600" t="s">
        <v>249</v>
      </c>
      <c r="AS5" s="1600" t="s">
        <v>507</v>
      </c>
      <c r="AT5" s="1600" t="s">
        <v>379</v>
      </c>
      <c r="AU5" s="1600" t="s">
        <v>380</v>
      </c>
      <c r="AV5" s="1600" t="s">
        <v>440</v>
      </c>
      <c r="AW5" s="1600" t="s">
        <v>422</v>
      </c>
      <c r="AX5" s="1600" t="s">
        <v>1020</v>
      </c>
      <c r="AY5" s="1600" t="s">
        <v>1021</v>
      </c>
      <c r="BE5" s="1605" t="s">
        <v>265</v>
      </c>
      <c r="BF5" s="1606"/>
      <c r="BG5" s="1605" t="s">
        <v>266</v>
      </c>
      <c r="BH5" s="1606"/>
      <c r="BI5" s="1605" t="s">
        <v>267</v>
      </c>
      <c r="BJ5" s="1606"/>
      <c r="BK5" s="1605" t="s">
        <v>268</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225</v>
      </c>
      <c r="BF6" s="1603" t="s">
        <v>226</v>
      </c>
      <c r="BG6" s="1603" t="s">
        <v>225</v>
      </c>
      <c r="BH6" s="1603" t="s">
        <v>226</v>
      </c>
      <c r="BI6" s="1603" t="s">
        <v>225</v>
      </c>
      <c r="BJ6" s="1603" t="s">
        <v>226</v>
      </c>
      <c r="BK6" s="1603" t="s">
        <v>225</v>
      </c>
      <c r="BL6" s="1603" t="s">
        <v>226</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33</v>
      </c>
      <c r="AN10" s="267">
        <f>IF(ISNUMBER('Resol  Asuntos'!D10/NºAsuntos!G10),'Resol  Asuntos'!D10/NºAsuntos!G10," - ")</f>
        <v>1</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324</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83</v>
      </c>
      <c r="Y12" s="374">
        <f t="shared" si="0"/>
        <v>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191</v>
      </c>
      <c r="AJ12" s="243" t="str">
        <f>IF(ISNUMBER(Datos!BW12),Datos!BW12," - ")</f>
        <v xml:space="preserve"> - </v>
      </c>
      <c r="AK12" s="242" t="str">
        <f>IF(ISNUMBER(Datos!BX12),Datos!BX12," - ")</f>
        <v xml:space="preserve"> - </v>
      </c>
      <c r="AL12" s="266">
        <f>IF(ISNUMBER(NºAsuntos!G12/NºAsuntos!E12),NºAsuntos!G12/NºAsuntos!E12," - ")</f>
        <v>0.84895833333333337</v>
      </c>
      <c r="AM12" s="284">
        <f>IF(ISNUMBER(((NºAsuntos!I12/NºAsuntos!G12)*11)/factor_trimestre),((NºAsuntos!I12/NºAsuntos!G12)*11)/factor_trimestre," - ")</f>
        <v>5.5104294478527613</v>
      </c>
      <c r="AN12" s="267">
        <f>IF(ISNUMBER('Resol  Asuntos'!D12/NºAsuntos!G12),'Resol  Asuntos'!D12/NºAsuntos!G12," - ")</f>
        <v>0.2343558282208589</v>
      </c>
      <c r="AO12" s="268">
        <f>IF(ISNUMBER((NºAsuntos!C12+NºAsuntos!E12)/NºAsuntos!G12),(NºAsuntos!C12+NºAsuntos!E12)/NºAsuntos!G12," - ")</f>
        <v>2.8368098159509203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9</v>
      </c>
      <c r="G14" s="1166">
        <f t="shared" si="5"/>
        <v>9</v>
      </c>
      <c r="H14" s="1165">
        <f t="shared" si="5"/>
        <v>0</v>
      </c>
      <c r="I14" s="1167">
        <f t="shared" si="5"/>
        <v>0</v>
      </c>
      <c r="J14" s="1167">
        <f t="shared" si="5"/>
        <v>0</v>
      </c>
      <c r="K14" s="1167">
        <f t="shared" si="5"/>
        <v>0</v>
      </c>
      <c r="L14" s="1167">
        <f t="shared" si="5"/>
        <v>149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v>
      </c>
      <c r="X14" s="1167">
        <f t="shared" si="6"/>
        <v>83</v>
      </c>
      <c r="Y14" s="1168">
        <f t="shared" si="6"/>
        <v>84</v>
      </c>
      <c r="Z14" s="1168">
        <f t="shared" si="6"/>
        <v>0</v>
      </c>
      <c r="AA14" s="1168">
        <f t="shared" si="6"/>
        <v>11</v>
      </c>
      <c r="AB14" s="1168">
        <f t="shared" si="6"/>
        <v>3088</v>
      </c>
      <c r="AC14" s="1168">
        <f t="shared" si="6"/>
        <v>13</v>
      </c>
      <c r="AD14" s="1168">
        <f t="shared" si="6"/>
        <v>0</v>
      </c>
      <c r="AE14" s="1172">
        <f t="shared" si="6"/>
        <v>0</v>
      </c>
      <c r="AF14" s="1165">
        <f t="shared" si="6"/>
        <v>0</v>
      </c>
      <c r="AG14" s="1173">
        <f t="shared" si="6"/>
        <v>0</v>
      </c>
      <c r="AH14" s="1170">
        <f t="shared" si="6"/>
        <v>0</v>
      </c>
      <c r="AI14" s="1165">
        <f t="shared" si="6"/>
        <v>192</v>
      </c>
      <c r="AJ14" s="1167">
        <f t="shared" si="6"/>
        <v>0</v>
      </c>
      <c r="AK14" s="1170">
        <f>SUBTOTAL(9,AK9:AK13)</f>
        <v>0</v>
      </c>
      <c r="AL14" s="1174">
        <f>IF(ISNUMBER(NºAsuntos!G14/NºAsuntos!E14),NºAsuntos!G14/NºAsuntos!E14," - ")</f>
        <v>0.84735202492211836</v>
      </c>
      <c r="AM14" s="1174">
        <f>IF(ISNUMBER(((NºAsuntos!I14/NºAsuntos!G14)*11)/factor_trimestre),((NºAsuntos!I14/NºAsuntos!G14)*11)/factor_trimestre," - ")</f>
        <v>5.5441176470588234</v>
      </c>
      <c r="AN14" s="1175">
        <f>IF(ISNUMBER('Resol  Asuntos'!D14/NºAsuntos!G14),'Resol  Asuntos'!D14/NºAsuntos!G14," - ")</f>
        <v>0.23529411764705882</v>
      </c>
      <c r="AO14" s="1176">
        <f>IF(ISNUMBER((NºAsuntos!C14+NºAsuntos!E14)/NºAsuntos!G14),(NºAsuntos!C14+NºAsuntos!E14)/NºAsuntos!G14," - ")</f>
        <v>2.8480392156862746</v>
      </c>
      <c r="AP14" s="1177" t="str">
        <f t="shared" si="2"/>
        <v xml:space="preserve"> - </v>
      </c>
      <c r="AQ14" s="1177">
        <f>IF(ISNUMBER((H14-W14+K14)/(F14)),(H14-W14+K14)/(F14)," - ")</f>
        <v>-0.1111111111111111</v>
      </c>
      <c r="AR14" s="1178">
        <f>IF(ISNUMBER((Datos!P14-Datos!Q14)/(Datos!R14-Datos!P14+Datos!Q14)),(Datos!P14-Datos!Q14)/(Datos!R14-Datos!P14+Datos!Q14)," - ")</f>
        <v>2.183984116479153E-2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515</v>
      </c>
      <c r="C17" s="173" t="str">
        <f>Datos!A17</f>
        <v xml:space="preserve">Jdos. 1ª Instª. e Instr.                        </v>
      </c>
      <c r="D17" s="173"/>
      <c r="E17" s="290">
        <f>IF(ISNUMBER(Datos!AQ17),Datos!AQ17," - ")</f>
        <v>3</v>
      </c>
      <c r="F17" s="239">
        <f>IF(ISNUMBER(AA17+W17-Datos!J17-K17),AA17+W17-Datos!J17-K17," - ")</f>
        <v>574</v>
      </c>
      <c r="G17" s="373">
        <f>IF(ISNUMBER(IF(D_I="SI",Datos!I17,Datos!I17+Datos!AC17)),IF(D_I="SI",Datos!I17,Datos!I17+Datos!AC17)," - ")</f>
        <v>574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685</v>
      </c>
      <c r="X17" s="240">
        <f>IF(ISNUMBER(Datos!Q17),Datos!Q17," - ")</f>
        <v>26</v>
      </c>
      <c r="Y17" s="374">
        <f t="shared" ref="Y17:Y22" si="9">SUM(W17:X17)</f>
        <v>711</v>
      </c>
      <c r="Z17" s="375" t="str">
        <f>IF(ISNUMBER(Datos!CC17),Datos!CC17," - ")</f>
        <v xml:space="preserve"> - </v>
      </c>
      <c r="AA17" s="372">
        <f>IF(ISNUMBER(IF(D_I="SI",Datos!L17,Datos!L17+Datos!AF17)),IF(D_I="SI",Datos!L17,Datos!L17+Datos!AF17)," - ")</f>
        <v>542</v>
      </c>
      <c r="AB17" s="374">
        <f>IF(ISNUMBER(Datos!R17),Datos!R17," - ")</f>
        <v>134</v>
      </c>
      <c r="AC17" s="374">
        <f t="shared" si="8"/>
        <v>676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1.0490045941807045</v>
      </c>
      <c r="AM17" s="284">
        <f>IF(ISNUMBER(((NºAsuntos!I17/NºAsuntos!G17)*11)/factor_trimestre),((NºAsuntos!I17/NºAsuntos!G17)*11)/factor_trimestre," - ")</f>
        <v>2.3737226277372265</v>
      </c>
      <c r="AN17" s="267">
        <f>IF(ISNUMBER('Resol  Asuntos'!D17/NºAsuntos!G17),'Resol  Asuntos'!D17/NºAsuntos!G17," - ")</f>
        <v>0.14744525547445256</v>
      </c>
      <c r="AO17" s="268">
        <f>IF(ISNUMBER((NºAsuntos!C17+NºAsuntos!E17)/NºAsuntos!G17),(NºAsuntos!C17+NºAsuntos!E17)/NºAsuntos!G17," - ")</f>
        <v>1.7912408759124088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55</v>
      </c>
      <c r="X18" s="240">
        <f>IF(ISNUMBER(Datos!Q18),Datos!Q18," - ")</f>
        <v>3</v>
      </c>
      <c r="Y18" s="374">
        <f t="shared" si="9"/>
        <v>58</v>
      </c>
      <c r="Z18" s="375" t="str">
        <f>IF(ISNUMBER(Datos!CC18),Datos!CC18," - ")</f>
        <v xml:space="preserve"> - </v>
      </c>
      <c r="AA18" s="372">
        <f>IF(ISNUMBER(Datos!L18),Datos!L18,"-")</f>
        <v>41</v>
      </c>
      <c r="AB18" s="374">
        <f>IF(ISNUMBER(Datos!R18),Datos!R18," - ")</f>
        <v>16</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2.2363636363636368</v>
      </c>
      <c r="AN18" s="267">
        <f>IF(ISNUMBER('Resol  Asuntos'!D18/NºAsuntos!G18),'Resol  Asuntos'!D18/NºAsuntos!G18," - ")</f>
        <v>0.32727272727272727</v>
      </c>
      <c r="AO18" s="268">
        <f>IF(ISNUMBER((NºAsuntos!C18+NºAsuntos!E18)/NºAsuntos!G18),(NºAsuntos!C18+NºAsuntos!E18)/NºAsuntos!G18," - ")</f>
        <v>1.7454545454545454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574</v>
      </c>
      <c r="G23" s="1166">
        <f>SUBTOTAL(9,G16:G22)</f>
        <v>610</v>
      </c>
      <c r="H23" s="1165">
        <f t="shared" ref="H23:O23" si="13">SUBTOTAL(9,H15:H22)</f>
        <v>0</v>
      </c>
      <c r="I23" s="1167">
        <f t="shared" si="13"/>
        <v>0</v>
      </c>
      <c r="J23" s="1167">
        <f t="shared" si="13"/>
        <v>0</v>
      </c>
      <c r="K23" s="1167">
        <f t="shared" si="13"/>
        <v>0</v>
      </c>
      <c r="L23" s="1167">
        <f t="shared" si="13"/>
        <v>38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740</v>
      </c>
      <c r="X23" s="1167">
        <f t="shared" si="14"/>
        <v>29</v>
      </c>
      <c r="Y23" s="1168">
        <f t="shared" si="14"/>
        <v>769</v>
      </c>
      <c r="Z23" s="1168">
        <f t="shared" si="14"/>
        <v>0</v>
      </c>
      <c r="AA23" s="1168">
        <f t="shared" si="14"/>
        <v>583</v>
      </c>
      <c r="AB23" s="1168">
        <f t="shared" si="14"/>
        <v>150</v>
      </c>
      <c r="AC23" s="1168">
        <f t="shared" si="14"/>
        <v>733</v>
      </c>
      <c r="AD23" s="1168">
        <f t="shared" si="14"/>
        <v>0</v>
      </c>
      <c r="AE23" s="1172">
        <f t="shared" si="14"/>
        <v>0</v>
      </c>
      <c r="AF23" s="1165">
        <f t="shared" si="14"/>
        <v>0</v>
      </c>
      <c r="AG23" s="1173">
        <f t="shared" si="14"/>
        <v>0</v>
      </c>
      <c r="AH23" s="1170">
        <f t="shared" si="14"/>
        <v>0</v>
      </c>
      <c r="AI23" s="1165">
        <f t="shared" si="14"/>
        <v>119</v>
      </c>
      <c r="AJ23" s="1167">
        <f t="shared" si="14"/>
        <v>0</v>
      </c>
      <c r="AK23" s="1170">
        <f t="shared" si="14"/>
        <v>0</v>
      </c>
      <c r="AL23" s="1174">
        <f>IF(ISNUMBER(NºAsuntos!G23/NºAsuntos!E23),NºAsuntos!G23/NºAsuntos!E23," - ")</f>
        <v>1.0378681626928472</v>
      </c>
      <c r="AM23" s="1174">
        <f>IF(ISNUMBER(((NºAsuntos!I23/NºAsuntos!G23)*11)/factor_trimestre),((NºAsuntos!I23/NºAsuntos!G23)*11)/factor_trimestre," - ")</f>
        <v>2.3635135135135132</v>
      </c>
      <c r="AN23" s="1175">
        <f>IF(ISNUMBER('Resol  Asuntos'!D23/NºAsuntos!G23),'Resol  Asuntos'!D23/NºAsuntos!G23," - ")</f>
        <v>0.16081081081081081</v>
      </c>
      <c r="AO23" s="1176">
        <f>IF(ISNUMBER((NºAsuntos!C23+NºAsuntos!E23)/NºAsuntos!G23),(NºAsuntos!C23+NºAsuntos!E23)/NºAsuntos!G23," - ")</f>
        <v>1.7878378378378379</v>
      </c>
      <c r="AP23" s="1177" t="str">
        <f t="shared" si="2"/>
        <v xml:space="preserve"> - </v>
      </c>
      <c r="AQ23" s="1177">
        <f>IF(ISNUMBER((H23-W23+K23)/(F23)),(H23-W23+K23)/(F23)," - ")</f>
        <v>-1.2891986062717771</v>
      </c>
      <c r="AR23" s="1178">
        <f>IF(ISNUMBER((Datos!P23-Datos!Q23)/(Datos!R23-Datos!P23+Datos!Q23)),(Datos!P23-Datos!Q23)/(Datos!R23-Datos!P23+Datos!Q23)," - ")</f>
        <v>6.3829787234042548E-2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6</v>
      </c>
      <c r="F31" s="1120">
        <f t="shared" si="20"/>
        <v>583</v>
      </c>
      <c r="G31" s="1121">
        <f t="shared" si="20"/>
        <v>619</v>
      </c>
      <c r="H31" s="1120">
        <f t="shared" si="20"/>
        <v>0</v>
      </c>
      <c r="I31" s="1122">
        <f t="shared" si="20"/>
        <v>0</v>
      </c>
      <c r="J31" s="1122">
        <f t="shared" si="20"/>
        <v>0</v>
      </c>
      <c r="K31" s="1183">
        <f t="shared" si="20"/>
        <v>0</v>
      </c>
      <c r="L31" s="1122">
        <f t="shared" si="20"/>
        <v>187</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741</v>
      </c>
      <c r="X31" s="1121">
        <f t="shared" si="21"/>
        <v>112</v>
      </c>
      <c r="Y31" s="1128">
        <f t="shared" si="21"/>
        <v>853</v>
      </c>
      <c r="Z31" s="1128">
        <f t="shared" si="21"/>
        <v>0</v>
      </c>
      <c r="AA31" s="1128">
        <f t="shared" si="21"/>
        <v>594</v>
      </c>
      <c r="AB31" s="1128">
        <f t="shared" si="21"/>
        <v>3238</v>
      </c>
      <c r="AC31" s="1128">
        <f t="shared" si="21"/>
        <v>746</v>
      </c>
      <c r="AD31" s="1128">
        <f t="shared" si="21"/>
        <v>0</v>
      </c>
      <c r="AE31" s="1130">
        <f t="shared" si="21"/>
        <v>0</v>
      </c>
      <c r="AF31" s="1131">
        <f t="shared" si="21"/>
        <v>0</v>
      </c>
      <c r="AG31" s="1132">
        <f t="shared" si="21"/>
        <v>0</v>
      </c>
      <c r="AH31" s="1130">
        <f t="shared" si="21"/>
        <v>0</v>
      </c>
      <c r="AI31" s="1120">
        <f t="shared" si="21"/>
        <v>311</v>
      </c>
      <c r="AJ31" s="1120">
        <f t="shared" si="21"/>
        <v>0</v>
      </c>
      <c r="AK31" s="1130">
        <f t="shared" si="21"/>
        <v>0</v>
      </c>
      <c r="AL31" s="1186">
        <f>IF(ISNUMBER(NºAsuntos!G31/NºAsuntos!E31),NºAsuntos!G31/NºAsuntos!E31," - ")</f>
        <v>0.9284009546539379</v>
      </c>
      <c r="AM31" s="1187">
        <f>IF(ISNUMBER(((NºAsuntos!I31/NºAsuntos!G31)*11)/factor_trimestre),((NºAsuntos!I31/NºAsuntos!G31)*11)/factor_trimestre," - ")</f>
        <v>4.0314910025706947</v>
      </c>
      <c r="AN31" s="1187">
        <f>IF(ISNUMBER('Resol  Asuntos'!D31/NºAsuntos!G31),'Resol  Asuntos'!D31/NºAsuntos!G31," - ")</f>
        <v>0.19987146529562982</v>
      </c>
      <c r="AO31" s="1188">
        <f>IF(ISNUMBER((NºAsuntos!C31+NºAsuntos!E31)/NºAsuntos!G31),(NºAsuntos!C31+NºAsuntos!E31)/NºAsuntos!G31," - ")</f>
        <v>2.3438303341902316</v>
      </c>
      <c r="AP31" s="1189" t="str">
        <f t="shared" si="2"/>
        <v xml:space="preserve"> - </v>
      </c>
      <c r="AQ31" s="1190">
        <f>IF(OR(ISNUMBER(FIND("01",Criterios!A8,1)),ISNUMBER(FIND("02",Criterios!A8,1)),ISNUMBER(FIND("03",Criterios!A8,1)),ISNUMBER(FIND("04",Criterios!A8,1))),(I31-W31+K31)/(F31-K31),(H31-W31+K31)/(F31-K31))</f>
        <v>-1.2710120068610635</v>
      </c>
      <c r="AR31" s="1191">
        <f>IF(ISNUMBER((Datos!P31-Datos!Q31)/(Datos!R31-Datos!P31+Datos!Q31)),(Datos!P31-Datos!Q31)/(Datos!R31-Datos!P31+Datos!Q31)," - ")</f>
        <v>2.3711666139740753E-2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176.85714285714286</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1.2565617248750864</v>
      </c>
      <c r="F33" s="276">
        <f>IF(ISNUMBER(STDEV(F8:F30)),STDEV(F8:F30),"-")</f>
        <v>294.1160768585537</v>
      </c>
      <c r="G33" s="277">
        <f>IF(ISNUMBER(STDEV(G8:G30)),STDEV(G8:G30),"-")</f>
        <v>284.04367538075815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343.04796277183277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84.237334783506597</v>
      </c>
      <c r="AJ33" s="276">
        <f t="shared" si="24"/>
        <v>0</v>
      </c>
      <c r="AK33" s="278">
        <f t="shared" si="24"/>
        <v>0</v>
      </c>
      <c r="AL33" s="273">
        <f t="shared" si="24"/>
        <v>0.26288787651962325</v>
      </c>
      <c r="AM33" s="274">
        <f t="shared" si="24"/>
        <v>12.102442083036141</v>
      </c>
      <c r="AN33" s="274">
        <f t="shared" si="24"/>
        <v>0.32445771582257144</v>
      </c>
      <c r="AO33" s="275">
        <f t="shared" si="24"/>
        <v>4.0341473610120469</v>
      </c>
      <c r="AP33" s="317" t="str">
        <f t="shared" si="24"/>
        <v>-</v>
      </c>
      <c r="AQ33" s="318">
        <f t="shared" si="24"/>
        <v>0.83303365665918094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yfJou+p6005J8pWTskeBzsmd1sFc0Rzn+aG1XJaVr/hdhDfPAY+Fj4Qb8hEE5agLKknhfhkluSAn14mNB50zA==" saltValue="UCwY21DZGV7hO2nZBM2Pu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3" t="str">
        <f>"Año:  " &amp;Criterios!B5 &amp; "          Trimestre   " &amp;Criterios!D5 &amp; " al " &amp;Criterios!D6</f>
        <v>Año:  2021          Trimestre   4 al 4</v>
      </c>
      <c r="D5" s="1631" t="s">
        <v>176</v>
      </c>
      <c r="E5" s="1673" t="s">
        <v>18</v>
      </c>
      <c r="F5" s="1670" t="s">
        <v>14</v>
      </c>
      <c r="G5" s="1667" t="s">
        <v>177</v>
      </c>
      <c r="H5" s="1664" t="s">
        <v>12</v>
      </c>
      <c r="I5" s="1628" t="s">
        <v>167</v>
      </c>
      <c r="J5" s="1657" t="s">
        <v>168</v>
      </c>
      <c r="K5" s="1619" t="s">
        <v>169</v>
      </c>
      <c r="M5" s="175"/>
      <c r="N5" s="183" t="s">
        <v>357</v>
      </c>
      <c r="O5" s="175"/>
      <c r="P5" s="175"/>
      <c r="Q5" s="184" t="s">
        <v>358</v>
      </c>
      <c r="R5" s="184"/>
      <c r="S5" s="182"/>
      <c r="T5" s="182"/>
    </row>
    <row r="6" spans="2:20" ht="12.75" customHeight="1">
      <c r="B6" s="298"/>
      <c r="C6" s="1644"/>
      <c r="D6" s="1632"/>
      <c r="E6" s="1674"/>
      <c r="F6" s="1671"/>
      <c r="G6" s="1668"/>
      <c r="H6" s="1665"/>
      <c r="I6" s="1629"/>
      <c r="J6" s="1658"/>
      <c r="K6" s="1620"/>
      <c r="M6" s="1660" t="s">
        <v>373</v>
      </c>
      <c r="N6" s="1660" t="s">
        <v>354</v>
      </c>
      <c r="O6" s="1660" t="s">
        <v>355</v>
      </c>
      <c r="P6" s="1660" t="s">
        <v>356</v>
      </c>
      <c r="Q6" s="1660" t="s">
        <v>373</v>
      </c>
      <c r="R6" s="1660" t="s">
        <v>354</v>
      </c>
      <c r="S6" s="1660" t="s">
        <v>355</v>
      </c>
      <c r="T6" s="1660" t="s">
        <v>356</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-0.60869565217391308</v>
      </c>
      <c r="E10" s="394">
        <f>IF(ISNUMBER((Datos!J10-Datos!T10)/Datos!T10),(Datos!J10-Datos!T10)/Datos!T10," - ")</f>
        <v>0.5</v>
      </c>
      <c r="F10" s="394" t="str">
        <f>IF(ISNUMBER((Datos!K10-Datos!U10)/Datos!U10),(Datos!K10-Datos!U10)/Datos!U10," - ")</f>
        <v xml:space="preserve"> - </v>
      </c>
      <c r="G10" s="395">
        <f>IF(ISNUMBER((Datos!L10-Datos!V10)/Datos!V10),(Datos!L10-Datos!V10)/Datos!V10," - ")</f>
        <v>-0.56000000000000005</v>
      </c>
      <c r="H10" s="244" t="str">
        <f>IF(ISNUMBER((Datos!M10-Datos!W10)/Datos!W10),(Datos!M10-Datos!W10)/Datos!W10," - ")</f>
        <v xml:space="preserve"> - </v>
      </c>
      <c r="I10" s="396" t="str">
        <f>IF(ISNUMBER((Tasas!C10-Datos!BE10)/Datos!BE10),(Tasas!C10-Datos!BE10)/Datos!BE10," - ")</f>
        <v xml:space="preserve"> - </v>
      </c>
      <c r="J10" s="395" t="str">
        <f>IF(ISNUMBER((Tasas!D10-Datos!BF10)/Datos!BF10),(Tasas!D10-Datos!BF10)/Datos!BF10," - ")</f>
        <v xml:space="preserve"> - </v>
      </c>
      <c r="K10" s="397" t="str">
        <f>IF(ISNUMBER((Tasas!E10-Datos!BG10)/Datos!BG10),(Tasas!E10-Datos!BG10)/Datos!BG10," - ")</f>
        <v xml:space="preserve"> - </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0.25657894736842107</v>
      </c>
      <c r="I12" s="396">
        <f>IF(ISNUMBER((Tasas!C12-Datos!BE12)/Datos!BE12),(Tasas!C12-Datos!BE12)/Datos!BE12," - ")</f>
        <v>3.7457396046353154E-2</v>
      </c>
      <c r="J12" s="395">
        <f>IF(ISNUMBER((Tasas!D12-Datos!BF12)/Datos!BF12),(Tasas!D12-Datos!BF12)/Datos!BF12," - ")</f>
        <v>-0.50573358569377369</v>
      </c>
      <c r="K12" s="397">
        <f>IF(ISNUMBER((Tasas!E12-Datos!BG12)/Datos!BG12),(Tasas!E12-Datos!BG12)/Datos!BG12," - ")</f>
        <v>2.3937270846190097E-2</v>
      </c>
      <c r="M12" t="e">
        <f>IF(Monitorios="SI",Datos!CE12,0)</f>
        <v>#REF!</v>
      </c>
      <c r="N12" t="e">
        <f>IF(Monitorios="SI",Datos!CF12,0)</f>
        <v>#REF!</v>
      </c>
      <c r="O12" t="e">
        <f>IF(Monitorios="SI",Datos!CG12,0)</f>
        <v>#REF!</v>
      </c>
      <c r="P12" t="e">
        <f>IF(Monitorios="SI",Datos!CH12,0)</f>
        <v>#REF!</v>
      </c>
      <c r="Q12">
        <f>IF(J_V="SI",0,Datos!AG12)</f>
        <v>82</v>
      </c>
      <c r="R12">
        <f>IF(J_V="SI",0,Datos!AH12)</f>
        <v>35</v>
      </c>
      <c r="S12">
        <f>IF(J_V="SI",0,Datos!AI12)</f>
        <v>48</v>
      </c>
      <c r="T12">
        <f>IF(J_V="SI",0,Datos!AJ12)</f>
        <v>69</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0.26315789473684209</v>
      </c>
      <c r="I14" s="403">
        <f>IF(ISNUMBER((Tasas!C14-Datos!BE14)/Datos!BE14),(Tasas!C14-Datos!BE14)/Datos!BE14," - ")</f>
        <v>2.5538906955364444E-2</v>
      </c>
      <c r="J14" s="401">
        <f>IF(ISNUMBER((Tasas!D14-Datos!BF14)/Datos!BF14),(Tasas!D14-Datos!BF14)/Datos!BF14," - ")</f>
        <v>-0.50375469336670842</v>
      </c>
      <c r="K14" s="404">
        <f>IF(ISNUMBER((Tasas!E14-Datos!BG14)/Datos!BG14),(Tasas!E14-Datos!BG14)/Datos!BG14," - ")</f>
        <v>1.6424436561303234E-2</v>
      </c>
      <c r="M14" t="e">
        <f>IF(Monitorios="SI",Datos!CE14,0)</f>
        <v>#REF!</v>
      </c>
      <c r="N14" t="e">
        <f>IF(Monitorios="SI",Datos!CF14,0)</f>
        <v>#REF!</v>
      </c>
      <c r="O14" t="e">
        <f>IF(Monitorios="SI",Datos!CG14,0)</f>
        <v>#REF!</v>
      </c>
      <c r="P14" t="e">
        <f>IF(Monitorios="SI",Datos!CH14,0)</f>
        <v>#REF!</v>
      </c>
      <c r="Q14">
        <f>IF(J_V="SI",0,Datos!AG14)</f>
        <v>82</v>
      </c>
      <c r="R14">
        <f>IF(J_V="SI",0,Datos!AH14)</f>
        <v>35</v>
      </c>
      <c r="S14">
        <f>IF(J_V="SI",0,Datos!AI14)</f>
        <v>48</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-0.15463917525773196</v>
      </c>
      <c r="E17" s="394">
        <f>IF(ISNUMBER(
   IF(D_I="SI",(Datos!J17-Datos!T17)/Datos!T17,(Datos!J17+Datos!AD17-(Datos!T17+Datos!AL17))/(Datos!T17+Datos!AL17))
     ),IF(D_I="SI",(Datos!J17-Datos!T17)/Datos!T17,(Datos!J17+Datos!AD17-(Datos!T17+Datos!AL17))/(Datos!T17+Datos!AL17))," - ")</f>
        <v>-5.6358381502890173E-2</v>
      </c>
      <c r="F17" s="394">
        <f>IF(ISNUMBER(
   IF(D_I="SI",(Datos!K17-Datos!U17)/Datos!U17,(Datos!K17+Datos!AE17-(Datos!U17+Datos!AM17))/(Datos!U17+Datos!AM17))
     ),IF(D_I="SI",(Datos!K17-Datos!U17)/Datos!U17,(Datos!K17+Datos!AE17-(Datos!U17+Datos!AM17))/(Datos!U17+Datos!AM17))," - ")</f>
        <v>-9.1511936339522551E-2</v>
      </c>
      <c r="G17" s="395">
        <f>IF(ISNUMBER(
   IF(D_I="SI",(Datos!L17-Datos!V17)/Datos!V17,(Datos!L17+Datos!AF17-(Datos!V17+Datos!AN17))/(Datos!V17+Datos!AN17))
     ),IF(D_I="SI",(Datos!L17-Datos!V17)/Datos!V17,(Datos!L17+Datos!AF17-(Datos!V17+Datos!AN17))/(Datos!V17+Datos!AN17))," - ")</f>
        <v>-0.12155591572123177</v>
      </c>
      <c r="H17" s="244">
        <f>IF(ISNUMBER((Datos!M17-Datos!W17)/Datos!W17),(Datos!M17-Datos!W17)/Datos!W17," - ")</f>
        <v>-0.25735294117647056</v>
      </c>
      <c r="I17" s="396">
        <f>IF(ISNUMBER((Tasas!C17-Datos!BE17)/Datos!BE17),(Tasas!C17-Datos!BE17)/Datos!BE17," - ")</f>
        <v>-3.3070307231837563E-2</v>
      </c>
      <c r="J17" s="395">
        <f>IF(ISNUMBER((Tasas!D17-Datos!BF17)/Datos!BF17),(Tasas!D17-Datos!BF17)/Datos!BF17," - ")</f>
        <v>-0.18254615714899092</v>
      </c>
      <c r="K17" s="397">
        <f>IF(ISNUMBER((Tasas!E17-Datos!BG17)/Datos!BG17),(Tasas!E17-Datos!BG17)/Datos!BG17," - ")</f>
        <v>-1.4882844319506768E-2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2</v>
      </c>
      <c r="E18" s="394">
        <f>IF(ISNUMBER(
   IF(D_I="SI",(Datos!J18-Datos!T18)/Datos!T18,(Datos!J18+Datos!AD18-(Datos!T18+Datos!AL18))/(Datos!T18+Datos!AL18))
     ),IF(D_I="SI",(Datos!J18-Datos!T18)/Datos!T18,(Datos!J18+Datos!AD18-(Datos!T18+Datos!AL18))/(Datos!T18+Datos!AL18))," - ")</f>
        <v>0.2</v>
      </c>
      <c r="F18" s="394">
        <f>IF(ISNUMBER(
   IF(D_I="SI",(Datos!K18-Datos!U18)/Datos!U18,(Datos!K18+Datos!AE18-(Datos!U18+Datos!AM18))/(Datos!U18+Datos!AM18))
     ),IF(D_I="SI",(Datos!K18-Datos!U18)/Datos!U18,(Datos!K18+Datos!AE18-(Datos!U18+Datos!AM18))/(Datos!U18+Datos!AM18))," - ")</f>
        <v>-3.5087719298245612E-2</v>
      </c>
      <c r="G18" s="395">
        <f>IF(ISNUMBER(
   IF(D_I="SI",(Datos!L18-Datos!V18)/Datos!V18,(Datos!L18+Datos!AF18-(Datos!V18+Datos!AN18))/(Datos!V18+Datos!AN18))
     ),IF(D_I="SI",(Datos!L18-Datos!V18)/Datos!V18,(Datos!L18+Datos!AF18-(Datos!V18+Datos!AN18))/(Datos!V18+Datos!AN18))," - ")</f>
        <v>7.2</v>
      </c>
      <c r="H18" s="244">
        <f>IF(ISNUMBER((Datos!M18-Datos!W18)/Datos!W18),(Datos!M18-Datos!W18)/Datos!W18," - ")</f>
        <v>5.8823529411764705E-2</v>
      </c>
      <c r="I18" s="396">
        <f>IF(ISNUMBER((Tasas!C18-Datos!BE18)/Datos!BE18),(Tasas!C18-Datos!BE18)/Datos!BE18," - ")</f>
        <v>7.4981818181818198</v>
      </c>
      <c r="J18" s="395">
        <f>IF(ISNUMBER((Tasas!D18-Datos!BF18)/Datos!BF18),(Tasas!D18-Datos!BF18)/Datos!BF18," - ")</f>
        <v>9.73262032085562E-2</v>
      </c>
      <c r="K18" s="397">
        <f>IF(ISNUMBER((Tasas!E18-Datos!BG18)/Datos!BG18),(Tasas!E18-Datos!BG18)/Datos!BG18," - ")</f>
        <v>0.60469208211143677</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-0.11722141823444283</v>
      </c>
      <c r="E23" s="400">
        <f>IF(ISNUMBER(
   IF(D_I="SI",(Datos!J23-Datos!T23)/Datos!T23,(Datos!J23+Datos!AD23-(Datos!T23+Datos!AL23))/(Datos!T23+Datos!AL23))
     ),IF(D_I="SI",(Datos!J23-Datos!T23)/Datos!T23,(Datos!J23+Datos!AD23-(Datos!T23+Datos!AL23))/(Datos!T23+Datos!AL23))," - ")</f>
        <v>-3.9083557951482481E-2</v>
      </c>
      <c r="F23" s="400">
        <f>IF(ISNUMBER(
   IF(D_I="SI",(Datos!K23-Datos!U23)/Datos!U23,(Datos!K23+Datos!AE23-(Datos!U23+Datos!AM23))/(Datos!U23+Datos!AM23))
     ),IF(D_I="SI",(Datos!K23-Datos!U23)/Datos!U23,(Datos!K23+Datos!AE23-(Datos!U23+Datos!AM23))/(Datos!U23+Datos!AM23))," - ")</f>
        <v>-8.7546239210850807E-2</v>
      </c>
      <c r="G23" s="401">
        <f>IF(ISNUMBER(
   IF(D_I="SI",(Datos!L23-Datos!V23)/Datos!V23,(Datos!L23+Datos!AF23-(Datos!V23+Datos!AN23))/(Datos!V23+Datos!AN23))
     ),IF(D_I="SI",(Datos!L23-Datos!V23)/Datos!V23,(Datos!L23+Datos!AF23-(Datos!V23+Datos!AN23))/(Datos!V23+Datos!AN23))," - ")</f>
        <v>-6.2700964630225078E-2</v>
      </c>
      <c r="H23" s="402">
        <f>IF(ISNUMBER((Datos!M23-Datos!W23)/Datos!W23),(Datos!M23-Datos!W23)/Datos!W23," - ")</f>
        <v>-0.22222222222222221</v>
      </c>
      <c r="I23" s="403">
        <f>IF(ISNUMBER((Tasas!C23-Datos!BE23)/Datos!BE23),(Tasas!C23-Datos!BE23)/Datos!BE23," - ")</f>
        <v>2.7229077952550491E-2</v>
      </c>
      <c r="J23" s="401">
        <f>IF(ISNUMBER((Tasas!D23-Datos!BF23)/Datos!BF23),(Tasas!D23-Datos!BF23)/Datos!BF23," - ")</f>
        <v>-0.14759759759759761</v>
      </c>
      <c r="K23" s="404">
        <f>IF(ISNUMBER((Tasas!E23-Datos!BG23)/Datos!BG23),(Tasas!E23-Datos!BG23)/Datos!BG23," - ")</f>
        <v>1.1818901944512621E-2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-0.10082116788321167</v>
      </c>
      <c r="E31" s="410">
        <f>IF(ISNUMBER(
   IF(J_V="SI",(Datos!J31-Datos!T31)/Datos!T31,(Datos!J31+Datos!Z31-(Datos!T31+Datos!AH31))/(Datos!T31+Datos!AH31))
     ),IF(J_V="SI",(Datos!J31-Datos!T31)/Datos!T31,(Datos!J31+Datos!Z31-(Datos!T31+Datos!AH31))/(Datos!T31+Datos!AH31))," - ")</f>
        <v>0.14559125085440874</v>
      </c>
      <c r="F31" s="410">
        <f>IF(ISNUMBER(
   IF(J_V="SI",(Datos!K31-Datos!U31)/Datos!U31,(Datos!K31+Datos!AA31-(Datos!U31+Datos!AI31))/(Datos!U31+Datos!AI31))
     ),IF(J_V="SI",(Datos!K31-Datos!U31)/Datos!U31,(Datos!K31+Datos!AA31-(Datos!U31+Datos!AI31))/(Datos!U31+Datos!AI31))," - ")</f>
        <v>-2.9925187032418952E-2</v>
      </c>
      <c r="G31" s="411">
        <f>IF(ISNUMBER(
   IF(J_V="SI",(Datos!L31-Datos!V31)/Datos!V31,(Datos!L31+Datos!AB31-(Datos!V31+Datos!AJ31))/(Datos!V31+Datos!AJ31))
     ),IF(J_V="SI",(Datos!L31-Datos!V31)/Datos!V31,(Datos!L31+Datos!AB31-(Datos!V31+Datos!AJ31))/(Datos!V31+Datos!AJ31))," - ")</f>
        <v>1.9502681618722574E-2</v>
      </c>
      <c r="H31" s="412">
        <f>IF(ISNUMBER((Datos!M31-Datos!W31)/Datos!W31),(Datos!M31-Datos!W31)/Datos!W31," - ")</f>
        <v>1.9672131147540985E-2</v>
      </c>
      <c r="I31" s="409">
        <f>IF(ISNUMBER((Tasas!C31-Datos!BE31)/Datos!BE31),(Tasas!C31-Datos!BE31)/Datos!BE31," - ")</f>
        <v>5.0952635807474986E-2</v>
      </c>
      <c r="J31" s="410">
        <f>IF(ISNUMBER((Tasas!D31-Datos!BF31)/Datos!BF31),(Tasas!D31-Datos!BF31)/Datos!BF31," - ")</f>
        <v>-0.39396251354595424</v>
      </c>
      <c r="K31" s="411">
        <f>IF(ISNUMBER((Tasas!E31-Datos!BG31)/Datos!BG31),(Tasas!E31-Datos!BG31)/Datos!BG31," - ")</f>
        <v>2.8592026276643378E-2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1.168314448627225</v>
      </c>
      <c r="E33" s="303">
        <f t="shared" si="1"/>
        <v>0.26034027702547269</v>
      </c>
      <c r="F33" s="303">
        <f t="shared" si="1"/>
        <v>3.1494219929638641E-2</v>
      </c>
      <c r="G33" s="304">
        <f t="shared" si="1"/>
        <v>3.7306457191255786</v>
      </c>
      <c r="H33" s="310">
        <f t="shared" si="1"/>
        <v>0.25109693322688509</v>
      </c>
      <c r="I33" s="302">
        <f t="shared" si="1"/>
        <v>3.3470135131439247</v>
      </c>
      <c r="J33" s="303">
        <f t="shared" si="1"/>
        <v>0.25760970264010569</v>
      </c>
      <c r="K33" s="304">
        <f t="shared" si="1"/>
        <v>0.26665814348675843</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2i5LazBjD7R5/GfuvMq1znwpNpoTgsUYB/2weAacl4E4H16+Tb7JaSLABREOOV9GpZHPBnbKqHNw2+Tsq3YEA==" saltValue="NodL0MsxU6HJjmhkyE1n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